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ique\Desktop\SyS and TOI\2026\2026 SyS and TOI Policies and Forms\"/>
    </mc:Choice>
  </mc:AlternateContent>
  <xr:revisionPtr revIDLastSave="0" documentId="13_ncr:1_{FCE439D7-823D-4AAA-8422-7E8BFBF3F107}" xr6:coauthVersionLast="47" xr6:coauthVersionMax="47" xr10:uidLastSave="{00000000-0000-0000-0000-000000000000}"/>
  <bookViews>
    <workbookView xWindow="-108" yWindow="-108" windowWidth="23256" windowHeight="12576" tabRatio="767" activeTab="10" xr2:uid="{00000000-000D-0000-FFFF-FFFF00000000}"/>
  </bookViews>
  <sheets>
    <sheet name="Instructions" sheetId="4" r:id="rId1"/>
    <sheet name="Senior" sheetId="5" r:id="rId2"/>
    <sheet name="Senior9" sheetId="17" r:id="rId3"/>
    <sheet name="Junior" sheetId="11" r:id="rId4"/>
    <sheet name="Junior9" sheetId="18" r:id="rId5"/>
    <sheet name="Advanced Novice" sheetId="7" r:id="rId6"/>
    <sheet name="Basic Novice" sheetId="13" r:id="rId7"/>
    <sheet name="Juvenile" sheetId="16" r:id="rId8"/>
    <sheet name="Mixed Age" sheetId="10" r:id="rId9"/>
    <sheet name="Adult" sheetId="8" r:id="rId10"/>
    <sheet name="Advanced Adult" sheetId="14" r:id="rId11"/>
    <sheet name="Percentages" sheetId="9" r:id="rId12"/>
  </sheets>
  <definedNames>
    <definedName name="_xlnm._FilterDatabase" localSheetId="3" hidden="1">Junior!$N$6:$O$15</definedName>
    <definedName name="_xlnm._FilterDatabase" localSheetId="4" hidden="1">Junior9!$N$6:$O$14</definedName>
    <definedName name="_xlnm._FilterDatabase" localSheetId="1" hidden="1">Senior!$N$6:$O$14</definedName>
    <definedName name="_xlnm._FilterDatabase" localSheetId="2" hidden="1">Senior9!$N$6:$O$14</definedName>
    <definedName name="_xlnm.Print_Area" localSheetId="9">Adult!$A$1:$O$28</definedName>
    <definedName name="_xlnm.Print_Area" localSheetId="10">'Advanced Adult'!$A$1:$O$28</definedName>
    <definedName name="_xlnm.Print_Area" localSheetId="5">'Advanced Novice'!$A$1:$N$28</definedName>
    <definedName name="_xlnm.Print_Area" localSheetId="6">'Basic Novice'!$A$1:$N$28</definedName>
    <definedName name="_xlnm.Print_Area" localSheetId="3">Junior!$A$1:$M$28</definedName>
    <definedName name="_xlnm.Print_Area" localSheetId="4">Junior9!$A$1:$M$28</definedName>
    <definedName name="_xlnm.Print_Area" localSheetId="7">Juvenile!$A$1:$N$28</definedName>
    <definedName name="_xlnm.Print_Area" localSheetId="8">'Mixed Age'!$A$1:$N$28</definedName>
    <definedName name="_xlnm.Print_Area" localSheetId="1">Senior!$A$1:$M$28</definedName>
    <definedName name="_xlnm.Print_Area" localSheetId="2">Senior9!$A$1:$M$28</definedName>
  </definedNames>
  <calcPr calcId="181029"/>
</workbook>
</file>

<file path=xl/calcChain.xml><?xml version="1.0" encoding="utf-8"?>
<calcChain xmlns="http://schemas.openxmlformats.org/spreadsheetml/2006/main">
  <c r="C23" i="17" l="1"/>
  <c r="C23" i="18"/>
  <c r="M23" i="18"/>
  <c r="L23" i="18"/>
  <c r="F23" i="18"/>
  <c r="E23" i="18"/>
  <c r="D23" i="18"/>
  <c r="B23" i="18"/>
  <c r="H23" i="18" s="1"/>
  <c r="K22" i="18"/>
  <c r="G22" i="18"/>
  <c r="K21" i="18"/>
  <c r="G21" i="18"/>
  <c r="K20" i="18"/>
  <c r="G20" i="18"/>
  <c r="K19" i="18"/>
  <c r="G19" i="18"/>
  <c r="K18" i="18"/>
  <c r="G18" i="18"/>
  <c r="K17" i="18"/>
  <c r="G17" i="18"/>
  <c r="K16" i="18"/>
  <c r="G16" i="18"/>
  <c r="K15" i="18"/>
  <c r="G15" i="18"/>
  <c r="K14" i="18"/>
  <c r="G14" i="18"/>
  <c r="K13" i="18"/>
  <c r="G13" i="18"/>
  <c r="K12" i="18"/>
  <c r="G12" i="18"/>
  <c r="K11" i="18"/>
  <c r="G11" i="18"/>
  <c r="K10" i="18"/>
  <c r="G10" i="18"/>
  <c r="K9" i="18"/>
  <c r="G9" i="18"/>
  <c r="K8" i="18"/>
  <c r="G8" i="18"/>
  <c r="K7" i="18"/>
  <c r="G7" i="18"/>
  <c r="K6" i="18"/>
  <c r="G6" i="18"/>
  <c r="K5" i="18"/>
  <c r="G5" i="18"/>
  <c r="K4" i="18"/>
  <c r="G4" i="18"/>
  <c r="K3" i="18"/>
  <c r="J23" i="18" s="1"/>
  <c r="G3" i="18"/>
  <c r="G23" i="18" s="1"/>
  <c r="H23" i="11"/>
  <c r="H23" i="13"/>
  <c r="H23" i="16"/>
  <c r="H23" i="10"/>
  <c r="H23" i="8"/>
  <c r="C23" i="16"/>
  <c r="G23" i="16"/>
  <c r="L23" i="16"/>
  <c r="C23" i="13"/>
  <c r="G23" i="13"/>
  <c r="H23" i="5"/>
  <c r="C23" i="7"/>
  <c r="G23" i="7"/>
  <c r="G23" i="11"/>
  <c r="G23" i="5"/>
  <c r="G3" i="17"/>
  <c r="G3" i="5"/>
  <c r="L23" i="14"/>
  <c r="L23" i="8"/>
  <c r="J23" i="16"/>
  <c r="L23" i="7"/>
  <c r="L23" i="11"/>
  <c r="L23" i="17"/>
  <c r="L23" i="5"/>
  <c r="G10" i="14"/>
  <c r="G9" i="14"/>
  <c r="G8" i="14"/>
  <c r="G7" i="14"/>
  <c r="G6" i="14"/>
  <c r="G5" i="14"/>
  <c r="G4" i="14"/>
  <c r="G3" i="14"/>
  <c r="D22" i="9"/>
  <c r="C22" i="9"/>
  <c r="D21" i="9"/>
  <c r="C21" i="9"/>
  <c r="D20" i="9"/>
  <c r="C20" i="9"/>
  <c r="D19" i="9"/>
  <c r="C19" i="9"/>
  <c r="D18" i="9"/>
  <c r="C18" i="9"/>
  <c r="D17" i="9"/>
  <c r="C17" i="9"/>
  <c r="D16" i="9"/>
  <c r="C16" i="9"/>
  <c r="D15" i="9"/>
  <c r="C15" i="9"/>
  <c r="D14" i="9"/>
  <c r="C14" i="9"/>
  <c r="B23" i="13"/>
  <c r="M23" i="17"/>
  <c r="F23" i="17"/>
  <c r="E23" i="17"/>
  <c r="D23" i="17"/>
  <c r="B23" i="17"/>
  <c r="H23" i="17" s="1"/>
  <c r="K22" i="17"/>
  <c r="G22" i="17"/>
  <c r="K21" i="17"/>
  <c r="G21" i="17"/>
  <c r="K20" i="17"/>
  <c r="G20" i="17"/>
  <c r="K19" i="17"/>
  <c r="G19" i="17"/>
  <c r="K18" i="17"/>
  <c r="G18" i="17"/>
  <c r="K17" i="17"/>
  <c r="G17" i="17"/>
  <c r="K16" i="17"/>
  <c r="G16" i="17"/>
  <c r="K15" i="17"/>
  <c r="G15" i="17"/>
  <c r="K14" i="17"/>
  <c r="G14" i="17"/>
  <c r="K13" i="17"/>
  <c r="G13" i="17"/>
  <c r="K12" i="17"/>
  <c r="G12" i="17"/>
  <c r="K11" i="17"/>
  <c r="G11" i="17"/>
  <c r="K10" i="17"/>
  <c r="G10" i="17"/>
  <c r="K9" i="17"/>
  <c r="G9" i="17"/>
  <c r="K8" i="17"/>
  <c r="G8" i="17"/>
  <c r="K7" i="17"/>
  <c r="G7" i="17"/>
  <c r="K6" i="17"/>
  <c r="G6" i="17"/>
  <c r="K5" i="17"/>
  <c r="G5" i="17"/>
  <c r="K4" i="17"/>
  <c r="G4" i="17"/>
  <c r="K3" i="17"/>
  <c r="M23" i="16"/>
  <c r="F23" i="16"/>
  <c r="E23" i="16"/>
  <c r="D23" i="16"/>
  <c r="B23" i="16"/>
  <c r="K22" i="16"/>
  <c r="G22" i="16"/>
  <c r="K21" i="16"/>
  <c r="G21" i="16"/>
  <c r="K20" i="16"/>
  <c r="G20" i="16"/>
  <c r="K19" i="16"/>
  <c r="G19" i="16"/>
  <c r="K18" i="16"/>
  <c r="G18" i="16"/>
  <c r="K17" i="16"/>
  <c r="G17" i="16"/>
  <c r="K16" i="16"/>
  <c r="G16" i="16"/>
  <c r="K15" i="16"/>
  <c r="G15" i="16"/>
  <c r="K14" i="16"/>
  <c r="G14" i="16"/>
  <c r="K13" i="16"/>
  <c r="G13" i="16"/>
  <c r="K12" i="16"/>
  <c r="G12" i="16"/>
  <c r="K11" i="16"/>
  <c r="G11" i="16"/>
  <c r="K10" i="16"/>
  <c r="G10" i="16"/>
  <c r="K9" i="16"/>
  <c r="G9" i="16"/>
  <c r="K8" i="16"/>
  <c r="G8" i="16"/>
  <c r="K7" i="16"/>
  <c r="G7" i="16"/>
  <c r="K6" i="16"/>
  <c r="G6" i="16"/>
  <c r="K5" i="16"/>
  <c r="G5" i="16"/>
  <c r="K4" i="16"/>
  <c r="G4" i="16"/>
  <c r="K3" i="16"/>
  <c r="G3" i="16"/>
  <c r="C23" i="10"/>
  <c r="E23" i="10"/>
  <c r="E23" i="13"/>
  <c r="E23" i="7"/>
  <c r="E23" i="11"/>
  <c r="E23" i="5"/>
  <c r="E23" i="14"/>
  <c r="E23" i="8"/>
  <c r="C23" i="5"/>
  <c r="C23" i="8"/>
  <c r="C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3" i="13"/>
  <c r="K20" i="11"/>
  <c r="K18" i="11"/>
  <c r="K16" i="11"/>
  <c r="K10" i="11"/>
  <c r="K9" i="11"/>
  <c r="K8" i="11"/>
  <c r="K4" i="11"/>
  <c r="K17" i="11"/>
  <c r="K22" i="11"/>
  <c r="K21" i="11"/>
  <c r="K19" i="11"/>
  <c r="K15" i="11"/>
  <c r="K14" i="11"/>
  <c r="K13" i="11"/>
  <c r="K12" i="11"/>
  <c r="K11" i="11"/>
  <c r="K7" i="11"/>
  <c r="K6" i="11"/>
  <c r="K5" i="11"/>
  <c r="K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K6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5" i="7"/>
  <c r="K4" i="7"/>
  <c r="K3" i="7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R4" i="7" s="1"/>
  <c r="C23" i="11"/>
  <c r="G23" i="17" l="1"/>
  <c r="G23" i="8"/>
  <c r="G23" i="14"/>
  <c r="J23" i="17"/>
  <c r="O28" i="8"/>
  <c r="K22" i="14" l="1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3" i="10"/>
  <c r="K22" i="13" l="1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4" i="13"/>
  <c r="K3" i="13"/>
  <c r="J23" i="13" l="1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J23" i="11" l="1"/>
  <c r="J23" i="5"/>
  <c r="N23" i="14"/>
  <c r="N23" i="8"/>
  <c r="L23" i="10"/>
  <c r="L23" i="13"/>
  <c r="M23" i="14" l="1"/>
  <c r="F23" i="14"/>
  <c r="D23" i="14"/>
  <c r="B23" i="14"/>
  <c r="H23" i="14" s="1"/>
  <c r="M23" i="10" l="1"/>
  <c r="M23" i="8"/>
  <c r="M23" i="13"/>
  <c r="M23" i="7"/>
  <c r="J23" i="7" l="1"/>
  <c r="M23" i="11"/>
  <c r="M23" i="5"/>
  <c r="D23" i="11" l="1"/>
  <c r="F23" i="13" l="1"/>
  <c r="D23" i="13"/>
  <c r="E3" i="9" l="1"/>
  <c r="D3" i="9"/>
  <c r="C3" i="9"/>
  <c r="B23" i="11"/>
  <c r="F23" i="11"/>
  <c r="D23" i="5"/>
  <c r="F23" i="5"/>
  <c r="F23" i="10"/>
  <c r="D23" i="10"/>
  <c r="F23" i="8"/>
  <c r="D23" i="8"/>
  <c r="F23" i="7"/>
  <c r="D23" i="7"/>
  <c r="B23" i="8"/>
  <c r="B23" i="7"/>
  <c r="H23" i="7" s="1"/>
  <c r="B23" i="10"/>
  <c r="E5" i="9"/>
  <c r="E6" i="9"/>
  <c r="E7" i="9"/>
  <c r="E8" i="9"/>
  <c r="E9" i="9"/>
  <c r="E10" i="9"/>
  <c r="E11" i="9"/>
  <c r="E4" i="9"/>
  <c r="D5" i="9"/>
  <c r="D6" i="9"/>
  <c r="D7" i="9"/>
  <c r="D8" i="9"/>
  <c r="D9" i="9"/>
  <c r="D10" i="9"/>
  <c r="D11" i="9"/>
  <c r="D4" i="9"/>
  <c r="C5" i="9"/>
  <c r="C6" i="9"/>
  <c r="C7" i="9"/>
  <c r="C8" i="9"/>
  <c r="C9" i="9"/>
  <c r="C10" i="9"/>
  <c r="C11" i="9"/>
  <c r="C4" i="9"/>
  <c r="B23" i="5"/>
</calcChain>
</file>

<file path=xl/sharedStrings.xml><?xml version="1.0" encoding="utf-8"?>
<sst xmlns="http://schemas.openxmlformats.org/spreadsheetml/2006/main" count="524" uniqueCount="92">
  <si>
    <t>Save the Workbook as it is first.</t>
  </si>
  <si>
    <t>Enter all the appropriate information for each team member into all the cells in yellow. This is the minimum number required in each team.</t>
  </si>
  <si>
    <t>The date of birth must be added in the format dd/mm/yyyy</t>
  </si>
  <si>
    <t>Ensure that no statements at the bottom remain red.</t>
  </si>
  <si>
    <t>Tabs at the bottom can be renamed with the Team if desired. Right click the cursor on the tab name, choose rename and retype.</t>
  </si>
  <si>
    <t>For multiple copies of worksheets for the same divison, right click the cursor on the tab and choose Move or copy. Click in the box for Create a Copy, the sheet you want it before and then OK.</t>
  </si>
  <si>
    <t>Team</t>
  </si>
  <si>
    <t>Yes</t>
  </si>
  <si>
    <t>Position</t>
  </si>
  <si>
    <t>Statements in orange are reminders.</t>
  </si>
  <si>
    <r>
      <t xml:space="preserve">Choose the </t>
    </r>
    <r>
      <rPr>
        <b/>
        <sz val="10"/>
        <rFont val="Arial"/>
        <family val="2"/>
      </rPr>
      <t>Save As</t>
    </r>
    <r>
      <rPr>
        <sz val="10"/>
        <rFont val="Arial"/>
        <family val="2"/>
      </rPr>
      <t xml:space="preserve"> option and name it for the Competition and year. A copy of the blank original will remain.</t>
    </r>
  </si>
  <si>
    <t>Proof Of Age Number (Mandatory)</t>
  </si>
  <si>
    <t>DOB (Mandatory)</t>
  </si>
  <si>
    <t>State Membership Number (Mandatory)</t>
  </si>
  <si>
    <t>We certify that this a true and correct record</t>
  </si>
  <si>
    <t>Ages and eligibility will be calculated automatically.</t>
  </si>
  <si>
    <t>No Test</t>
  </si>
  <si>
    <t>Clearance Status</t>
  </si>
  <si>
    <t>Application made</t>
  </si>
  <si>
    <t>Column1</t>
  </si>
  <si>
    <t>Column2</t>
  </si>
  <si>
    <t>No application made</t>
  </si>
  <si>
    <t>No age restriction (POA STILL REQUIRED)</t>
  </si>
  <si>
    <t>ISQ</t>
  </si>
  <si>
    <t>ISV</t>
  </si>
  <si>
    <t>NSWISA</t>
  </si>
  <si>
    <t>SAISA</t>
  </si>
  <si>
    <t>WAISA</t>
  </si>
  <si>
    <t>ACTISA</t>
  </si>
  <si>
    <t xml:space="preserve">Adult </t>
  </si>
  <si>
    <t>Senior</t>
  </si>
  <si>
    <t>Junior</t>
  </si>
  <si>
    <t>No Limit</t>
  </si>
  <si>
    <t>Maximum 25% on the ice</t>
  </si>
  <si>
    <t>Not Applicable</t>
  </si>
  <si>
    <t>Advanced Novice</t>
  </si>
  <si>
    <t>Basic Novice</t>
  </si>
  <si>
    <t>Maximum 25% in total</t>
  </si>
  <si>
    <t>In any other one Team</t>
  </si>
  <si>
    <t>Test Number</t>
  </si>
  <si>
    <t>FSAT</t>
  </si>
  <si>
    <t>For Information Only</t>
  </si>
  <si>
    <t>Name of Team Offical</t>
  </si>
  <si>
    <t>Name of State Official</t>
  </si>
  <si>
    <t>Clearance received</t>
  </si>
  <si>
    <t>Highest Test or Equivalent Passed (Mandatory)</t>
  </si>
  <si>
    <t>Age on 1 July (Years) (Calculated)</t>
  </si>
  <si>
    <t>Skating in another team in the same competition. (Mandatory)</t>
  </si>
  <si>
    <t>Name of Other Team for same Competition (Mandatory)</t>
  </si>
  <si>
    <t>First Name (Mandatory)</t>
  </si>
  <si>
    <t>Skating in another team in the same competition (Mandatory)</t>
  </si>
  <si>
    <t>For information only. No minimum test requirement.</t>
  </si>
  <si>
    <t>Age on 1 July (Years) (Calculated) Correct % must be on the ice.</t>
  </si>
  <si>
    <t>Mixed Age</t>
  </si>
  <si>
    <t>Previous Senior, Junior or Advanced Novice Division</t>
  </si>
  <si>
    <t>Advanced Adult</t>
  </si>
  <si>
    <t>0</t>
  </si>
  <si>
    <t>ISA Member</t>
  </si>
  <si>
    <t>FSANT</t>
  </si>
  <si>
    <t>Competing in a Junior or Senior Team in the same Championships  (Yes/No) (Mandatory)</t>
  </si>
  <si>
    <t>The Team Name and ISA Member must be entered at the top.</t>
  </si>
  <si>
    <t>Please do not use the delete key as formulas will be lost. Use Clear Contents.</t>
  </si>
  <si>
    <t>Junior or Senior Team in the same competition</t>
  </si>
  <si>
    <t>Juvenile</t>
  </si>
  <si>
    <t>Perm Res</t>
  </si>
  <si>
    <t>Temp Visa</t>
  </si>
  <si>
    <t>Australian Citizen (Mandatory)</t>
  </si>
  <si>
    <t>Dropdowns options only are to be used where designated. Information is at the time of entry.</t>
  </si>
  <si>
    <t>The maximum number of names on the list is 20 (except Senior Elite 12 which is 16).</t>
  </si>
  <si>
    <t>Make sure to copy the correct divison if more than one sheet is required. The conditional formatting and formulas are different.</t>
  </si>
  <si>
    <t>LAST NAME (Mandatory)</t>
  </si>
  <si>
    <t>Please enter names alphabetically by LAST NAME IN UPPERCASE.</t>
  </si>
  <si>
    <t>Percentage</t>
  </si>
  <si>
    <t>Number skating the program. Alternates NOT included.</t>
  </si>
  <si>
    <t>Maximum with Temp Visa*</t>
  </si>
  <si>
    <t>* Total maximum with Temp Visa and Perm Res named on the team sheet for international competitions</t>
  </si>
  <si>
    <t>Total maximum with Temp Visa AND Perm Res for AFSC only</t>
  </si>
  <si>
    <t>No</t>
  </si>
  <si>
    <t>Preliminary Pattern, Dance or SID</t>
  </si>
  <si>
    <t>Elementary Pattern, Dance or SID</t>
  </si>
  <si>
    <t>Basic Novice Pattern, Dance or SID</t>
  </si>
  <si>
    <t>Intermediate Novice Dance or SID</t>
  </si>
  <si>
    <t>Advanced Novice Pattern, Dance or SID</t>
  </si>
  <si>
    <t>Junior Pattern, Dance or SID</t>
  </si>
  <si>
    <t>Senior Pattern, Dance or SID</t>
  </si>
  <si>
    <t>No limit</t>
  </si>
  <si>
    <t>Refer to SST25-03P for Team Entry Form Policy.</t>
  </si>
  <si>
    <t>Please note, only electronic copies of the Excel sheets will be accepted. No scanned copies or pdf versions.</t>
  </si>
  <si>
    <t>Season 2026-2027</t>
  </si>
  <si>
    <t>Refer to SST26-01P. Submit SST26-02F available on www.isa.org.au</t>
  </si>
  <si>
    <t>Senior9</t>
  </si>
  <si>
    <t>Junior9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</si>
</sst>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"/>
  </numFmts>
  <fonts count="27" x14ac:knownFonts="1">
    <font>
      <sz val="10"/>
      <name val="Arial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indexed="53"/>
      <name val="Arial"/>
      <family val="2"/>
    </font>
    <font>
      <b/>
      <sz val="9"/>
      <color indexed="10"/>
      <name val="Arial"/>
      <family val="2"/>
    </font>
    <font>
      <b/>
      <sz val="8"/>
      <color rgb="FFFF6600"/>
      <name val="Arial"/>
      <family val="2"/>
    </font>
    <font>
      <sz val="9"/>
      <name val="Arial"/>
      <family val="2"/>
    </font>
    <font>
      <b/>
      <sz val="8"/>
      <color rgb="FF003399"/>
      <name val="Arial"/>
      <family val="2"/>
    </font>
    <font>
      <sz val="9"/>
      <color indexed="12"/>
      <name val="Arial"/>
      <family val="2"/>
    </font>
    <font>
      <sz val="9"/>
      <color theme="1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7"/>
      <name val="Arial"/>
      <family val="2"/>
    </font>
    <font>
      <b/>
      <sz val="9"/>
      <color indexed="53"/>
      <name val="Arial"/>
      <family val="2"/>
    </font>
    <font>
      <b/>
      <sz val="9"/>
      <color rgb="FFFF6600"/>
      <name val="Arial"/>
      <family val="2"/>
    </font>
    <font>
      <b/>
      <sz val="9"/>
      <color rgb="FFFFC00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color rgb="FF00339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FF"/>
        <bgColor indexed="64"/>
      </patternFill>
    </fill>
  </fills>
  <borders count="5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/>
    <xf numFmtId="0" fontId="1" fillId="5" borderId="0" xfId="0" applyFont="1" applyFill="1" applyAlignment="1">
      <alignment wrapText="1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10" xfId="0" applyBorder="1" applyProtection="1">
      <protection locked="0"/>
    </xf>
    <xf numFmtId="0" fontId="1" fillId="0" borderId="11" xfId="0" applyFont="1" applyBorder="1" applyProtection="1">
      <protection locked="0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12" xfId="0" applyFont="1" applyBorder="1" applyAlignment="1" applyProtection="1">
      <alignment horizontal="center"/>
      <protection hidden="1"/>
    </xf>
    <xf numFmtId="9" fontId="1" fillId="0" borderId="13" xfId="0" applyNumberFormat="1" applyFont="1" applyBorder="1" applyAlignment="1" applyProtection="1">
      <alignment horizontal="center"/>
      <protection hidden="1"/>
    </xf>
    <xf numFmtId="9" fontId="1" fillId="0" borderId="14" xfId="0" applyNumberFormat="1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1" fillId="0" borderId="0" xfId="0" applyFont="1" applyAlignment="1">
      <alignment horizontal="right"/>
    </xf>
    <xf numFmtId="0" fontId="0" fillId="0" borderId="0" xfId="0" applyProtection="1">
      <protection hidden="1"/>
    </xf>
    <xf numFmtId="0" fontId="0" fillId="0" borderId="10" xfId="0" applyBorder="1" applyProtection="1">
      <protection hidden="1"/>
    </xf>
    <xf numFmtId="0" fontId="1" fillId="0" borderId="11" xfId="0" applyFont="1" applyBorder="1" applyProtection="1">
      <protection hidden="1"/>
    </xf>
    <xf numFmtId="1" fontId="0" fillId="0" borderId="0" xfId="0" applyNumberFormat="1"/>
    <xf numFmtId="0" fontId="0" fillId="0" borderId="0" xfId="0" applyAlignment="1">
      <alignment vertical="top"/>
    </xf>
    <xf numFmtId="0" fontId="1" fillId="0" borderId="16" xfId="0" applyFont="1" applyBorder="1" applyAlignment="1" applyProtection="1">
      <alignment horizontal="center"/>
      <protection hidden="1"/>
    </xf>
    <xf numFmtId="1" fontId="7" fillId="0" borderId="17" xfId="0" applyNumberFormat="1" applyFont="1" applyBorder="1" applyAlignment="1" applyProtection="1">
      <alignment horizontal="center"/>
      <protection hidden="1"/>
    </xf>
    <xf numFmtId="1" fontId="7" fillId="0" borderId="18" xfId="0" applyNumberFormat="1" applyFont="1" applyBorder="1" applyAlignment="1" applyProtection="1">
      <alignment horizontal="center"/>
      <protection hidden="1"/>
    </xf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/>
    <xf numFmtId="0" fontId="8" fillId="2" borderId="8" xfId="0" applyFont="1" applyFill="1" applyBorder="1" applyAlignment="1" applyProtection="1">
      <alignment horizontal="center" vertical="center" wrapText="1"/>
      <protection hidden="1"/>
    </xf>
    <xf numFmtId="0" fontId="10" fillId="2" borderId="8" xfId="0" applyFont="1" applyFill="1" applyBorder="1" applyAlignment="1" applyProtection="1">
      <alignment horizontal="center" vertical="center" wrapText="1"/>
      <protection hidden="1"/>
    </xf>
    <xf numFmtId="0" fontId="0" fillId="0" borderId="10" xfId="0" applyBorder="1"/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2" borderId="8" xfId="0" applyFont="1" applyFill="1" applyBorder="1" applyAlignment="1" applyProtection="1">
      <alignment horizontal="center" vertical="center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hidden="1"/>
    </xf>
    <xf numFmtId="15" fontId="10" fillId="2" borderId="8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wrapText="1"/>
    </xf>
    <xf numFmtId="0" fontId="8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6" fillId="0" borderId="0" xfId="0" applyFont="1"/>
    <xf numFmtId="0" fontId="8" fillId="2" borderId="9" xfId="0" applyFont="1" applyFill="1" applyBorder="1" applyAlignment="1" applyProtection="1">
      <alignment horizontal="center" vertical="center" wrapText="1"/>
      <protection hidden="1"/>
    </xf>
    <xf numFmtId="0" fontId="14" fillId="2" borderId="8" xfId="0" applyFont="1" applyFill="1" applyBorder="1" applyAlignment="1" applyProtection="1">
      <alignment horizontal="center" vertical="center" wrapText="1"/>
      <protection hidden="1"/>
    </xf>
    <xf numFmtId="0" fontId="11" fillId="3" borderId="5" xfId="0" applyFont="1" applyFill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7" fillId="8" borderId="0" xfId="0" applyFont="1" applyFill="1" applyAlignment="1">
      <alignment wrapText="1"/>
    </xf>
    <xf numFmtId="0" fontId="1" fillId="0" borderId="30" xfId="0" applyFont="1" applyBorder="1"/>
    <xf numFmtId="0" fontId="1" fillId="0" borderId="31" xfId="0" applyFont="1" applyBorder="1"/>
    <xf numFmtId="0" fontId="9" fillId="0" borderId="0" xfId="0" applyFont="1" applyAlignment="1" applyProtection="1">
      <alignment vertical="center"/>
      <protection hidden="1"/>
    </xf>
    <xf numFmtId="0" fontId="9" fillId="2" borderId="16" xfId="0" applyFont="1" applyFill="1" applyBorder="1" applyAlignment="1" applyProtection="1">
      <alignment horizontal="center" vertical="center"/>
      <protection hidden="1"/>
    </xf>
    <xf numFmtId="0" fontId="9" fillId="2" borderId="17" xfId="0" applyFont="1" applyFill="1" applyBorder="1" applyAlignment="1" applyProtection="1">
      <alignment horizontal="center" vertical="center" wrapText="1"/>
      <protection hidden="1"/>
    </xf>
    <xf numFmtId="0" fontId="9" fillId="2" borderId="32" xfId="0" applyFont="1" applyFill="1" applyBorder="1" applyAlignment="1" applyProtection="1">
      <alignment horizontal="center" vertical="center" wrapText="1"/>
      <protection hidden="1"/>
    </xf>
    <xf numFmtId="0" fontId="1" fillId="2" borderId="33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0" fontId="2" fillId="3" borderId="34" xfId="0" applyFont="1" applyFill="1" applyBorder="1" applyAlignment="1" applyProtection="1">
      <alignment horizontal="center"/>
      <protection locked="0"/>
    </xf>
    <xf numFmtId="0" fontId="1" fillId="7" borderId="34" xfId="0" applyFont="1" applyFill="1" applyBorder="1" applyAlignment="1">
      <alignment horizontal="center"/>
    </xf>
    <xf numFmtId="0" fontId="8" fillId="2" borderId="17" xfId="0" applyFont="1" applyFill="1" applyBorder="1" applyAlignment="1" applyProtection="1">
      <alignment horizontal="center" vertical="center" wrapText="1"/>
      <protection hidden="1"/>
    </xf>
    <xf numFmtId="0" fontId="0" fillId="7" borderId="34" xfId="0" applyFill="1" applyBorder="1" applyAlignment="1">
      <alignment horizontal="center"/>
    </xf>
    <xf numFmtId="0" fontId="18" fillId="10" borderId="0" xfId="0" applyFont="1" applyFill="1" applyAlignment="1">
      <alignment horizontal="left" vertical="center" wrapText="1"/>
    </xf>
    <xf numFmtId="1" fontId="7" fillId="0" borderId="0" xfId="0" applyNumberFormat="1" applyFont="1"/>
    <xf numFmtId="0" fontId="19" fillId="2" borderId="0" xfId="0" applyFont="1" applyFill="1" applyAlignment="1" applyProtection="1">
      <alignment horizontal="center" wrapText="1"/>
      <protection hidden="1"/>
    </xf>
    <xf numFmtId="14" fontId="2" fillId="3" borderId="0" xfId="0" applyNumberFormat="1" applyFont="1" applyFill="1" applyAlignment="1">
      <alignment horizontal="center"/>
    </xf>
    <xf numFmtId="1" fontId="7" fillId="0" borderId="0" xfId="0" applyNumberFormat="1" applyFont="1" applyAlignment="1">
      <alignment vertical="top"/>
    </xf>
    <xf numFmtId="1" fontId="0" fillId="0" borderId="0" xfId="0" applyNumberFormat="1" applyAlignment="1">
      <alignment horizontal="right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15" fontId="20" fillId="2" borderId="8" xfId="0" applyNumberFormat="1" applyFont="1" applyFill="1" applyBorder="1" applyAlignment="1" applyProtection="1">
      <alignment horizontal="center" vertical="center" wrapText="1"/>
      <protection hidden="1"/>
    </xf>
    <xf numFmtId="0" fontId="20" fillId="2" borderId="8" xfId="0" applyFont="1" applyFill="1" applyBorder="1" applyAlignment="1" applyProtection="1">
      <alignment horizontal="center" vertical="center" wrapText="1"/>
      <protection hidden="1"/>
    </xf>
    <xf numFmtId="0" fontId="21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9" xfId="0" applyFont="1" applyFill="1" applyBorder="1" applyAlignment="1" applyProtection="1">
      <alignment horizontal="center" vertical="center" wrapText="1"/>
      <protection hidden="1"/>
    </xf>
    <xf numFmtId="0" fontId="19" fillId="2" borderId="17" xfId="0" applyFont="1" applyFill="1" applyBorder="1" applyAlignment="1" applyProtection="1">
      <alignment horizontal="center" vertical="center" wrapText="1"/>
      <protection hidden="1"/>
    </xf>
    <xf numFmtId="1" fontId="0" fillId="0" borderId="0" xfId="0" applyNumberFormat="1" applyAlignment="1">
      <alignment horizontal="left"/>
    </xf>
    <xf numFmtId="0" fontId="7" fillId="0" borderId="0" xfId="0" applyFont="1" applyAlignment="1">
      <alignment wrapText="1"/>
    </xf>
    <xf numFmtId="0" fontId="8" fillId="7" borderId="8" xfId="0" applyFont="1" applyFill="1" applyBorder="1" applyAlignment="1" applyProtection="1">
      <alignment horizontal="center" vertical="center" wrapText="1"/>
      <protection hidden="1"/>
    </xf>
    <xf numFmtId="0" fontId="1" fillId="0" borderId="19" xfId="0" applyFont="1" applyBorder="1"/>
    <xf numFmtId="9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9" fontId="7" fillId="12" borderId="4" xfId="0" applyNumberFormat="1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" fillId="13" borderId="19" xfId="0" applyFont="1" applyFill="1" applyBorder="1"/>
    <xf numFmtId="0" fontId="7" fillId="13" borderId="4" xfId="0" applyFont="1" applyFill="1" applyBorder="1" applyAlignment="1">
      <alignment horizontal="center"/>
    </xf>
    <xf numFmtId="9" fontId="7" fillId="13" borderId="4" xfId="0" applyNumberFormat="1" applyFont="1" applyFill="1" applyBorder="1" applyAlignment="1">
      <alignment horizontal="center"/>
    </xf>
    <xf numFmtId="0" fontId="7" fillId="13" borderId="20" xfId="0" applyFont="1" applyFill="1" applyBorder="1" applyAlignment="1">
      <alignment horizontal="center"/>
    </xf>
    <xf numFmtId="0" fontId="1" fillId="14" borderId="40" xfId="0" applyFont="1" applyFill="1" applyBorder="1"/>
    <xf numFmtId="0" fontId="7" fillId="14" borderId="41" xfId="0" applyFont="1" applyFill="1" applyBorder="1" applyAlignment="1">
      <alignment horizontal="center"/>
    </xf>
    <xf numFmtId="9" fontId="7" fillId="14" borderId="42" xfId="0" applyNumberFormat="1" applyFont="1" applyFill="1" applyBorder="1" applyAlignment="1">
      <alignment horizontal="center"/>
    </xf>
    <xf numFmtId="0" fontId="1" fillId="15" borderId="19" xfId="0" applyFont="1" applyFill="1" applyBorder="1"/>
    <xf numFmtId="0" fontId="1" fillId="0" borderId="44" xfId="0" applyFont="1" applyBorder="1" applyAlignment="1" applyProtection="1">
      <alignment horizontal="center"/>
      <protection hidden="1"/>
    </xf>
    <xf numFmtId="0" fontId="0" fillId="0" borderId="45" xfId="0" applyBorder="1" applyAlignment="1" applyProtection="1">
      <alignment horizontal="center"/>
      <protection hidden="1"/>
    </xf>
    <xf numFmtId="0" fontId="0" fillId="0" borderId="46" xfId="0" applyBorder="1" applyAlignment="1" applyProtection="1">
      <alignment horizontal="center"/>
      <protection hidden="1"/>
    </xf>
    <xf numFmtId="0" fontId="1" fillId="0" borderId="39" xfId="0" applyFont="1" applyBorder="1" applyAlignment="1" applyProtection="1">
      <alignment horizontal="center"/>
      <protection hidden="1"/>
    </xf>
    <xf numFmtId="0" fontId="0" fillId="0" borderId="39" xfId="0" applyBorder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>
      <alignment horizontal="center"/>
    </xf>
    <xf numFmtId="0" fontId="0" fillId="6" borderId="34" xfId="0" applyFill="1" applyBorder="1" applyAlignment="1" applyProtection="1">
      <alignment horizontal="center"/>
      <protection locked="0"/>
    </xf>
    <xf numFmtId="1" fontId="8" fillId="0" borderId="0" xfId="0" applyNumberFormat="1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7" fillId="16" borderId="0" xfId="0" applyFont="1" applyFill="1" applyAlignment="1">
      <alignment wrapText="1"/>
    </xf>
    <xf numFmtId="0" fontId="2" fillId="3" borderId="35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hidden="1"/>
    </xf>
    <xf numFmtId="0" fontId="10" fillId="2" borderId="47" xfId="0" applyFont="1" applyFill="1" applyBorder="1" applyAlignment="1" applyProtection="1">
      <alignment horizontal="center" vertical="center" wrapText="1"/>
      <protection hidden="1"/>
    </xf>
    <xf numFmtId="14" fontId="2" fillId="6" borderId="0" xfId="0" applyNumberFormat="1" applyFont="1" applyFill="1" applyAlignment="1">
      <alignment horizontal="center"/>
    </xf>
    <xf numFmtId="0" fontId="22" fillId="2" borderId="47" xfId="0" applyFont="1" applyFill="1" applyBorder="1" applyAlignment="1" applyProtection="1">
      <alignment horizontal="center" vertical="center" wrapText="1"/>
      <protection hidden="1"/>
    </xf>
    <xf numFmtId="14" fontId="2" fillId="3" borderId="48" xfId="0" applyNumberFormat="1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1" fillId="6" borderId="35" xfId="0" applyFont="1" applyFill="1" applyBorder="1" applyAlignment="1" applyProtection="1">
      <alignment horizontal="center"/>
      <protection locked="0"/>
    </xf>
    <xf numFmtId="0" fontId="20" fillId="2" borderId="47" xfId="0" applyFont="1" applyFill="1" applyBorder="1" applyAlignment="1" applyProtection="1">
      <alignment horizontal="center" vertical="center" wrapText="1"/>
      <protection hidden="1"/>
    </xf>
    <xf numFmtId="0" fontId="1" fillId="2" borderId="13" xfId="0" applyFont="1" applyFill="1" applyBorder="1" applyAlignment="1">
      <alignment horizontal="center"/>
    </xf>
    <xf numFmtId="0" fontId="8" fillId="2" borderId="26" xfId="0" applyFont="1" applyFill="1" applyBorder="1" applyAlignment="1" applyProtection="1">
      <alignment horizontal="center" vertical="center" wrapText="1"/>
      <protection hidden="1"/>
    </xf>
    <xf numFmtId="0" fontId="1" fillId="6" borderId="14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0" fontId="9" fillId="2" borderId="47" xfId="0" applyFont="1" applyFill="1" applyBorder="1" applyAlignment="1" applyProtection="1">
      <alignment horizontal="center" vertical="center" wrapText="1"/>
      <protection hidden="1"/>
    </xf>
    <xf numFmtId="0" fontId="1" fillId="2" borderId="35" xfId="0" applyFont="1" applyFill="1" applyBorder="1" applyAlignment="1">
      <alignment horizontal="center"/>
    </xf>
    <xf numFmtId="0" fontId="9" fillId="0" borderId="52" xfId="0" applyFont="1" applyBorder="1" applyAlignment="1" applyProtection="1">
      <alignment horizontal="center" vertical="center" wrapText="1"/>
      <protection hidden="1"/>
    </xf>
    <xf numFmtId="0" fontId="15" fillId="3" borderId="4" xfId="0" applyFont="1" applyFill="1" applyBorder="1" applyAlignment="1" applyProtection="1">
      <alignment horizontal="left" vertical="center"/>
      <protection locked="0"/>
    </xf>
    <xf numFmtId="164" fontId="15" fillId="3" borderId="4" xfId="0" applyNumberFormat="1" applyFont="1" applyFill="1" applyBorder="1" applyAlignment="1" applyProtection="1">
      <alignment vertical="center"/>
      <protection locked="0"/>
    </xf>
    <xf numFmtId="0" fontId="15" fillId="3" borderId="4" xfId="0" applyFont="1" applyFill="1" applyBorder="1" applyAlignment="1" applyProtection="1">
      <alignment vertical="center"/>
      <protection locked="0"/>
    </xf>
    <xf numFmtId="1" fontId="13" fillId="2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164" fontId="15" fillId="0" borderId="4" xfId="0" applyNumberFormat="1" applyFont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3" borderId="6" xfId="0" applyFont="1" applyFill="1" applyBorder="1" applyAlignment="1" applyProtection="1">
      <alignment vertical="center" wrapTex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15" fillId="3" borderId="4" xfId="0" applyFont="1" applyFill="1" applyBorder="1" applyAlignment="1" applyProtection="1">
      <alignment vertical="center" wrapText="1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16" fillId="3" borderId="4" xfId="0" applyFont="1" applyFill="1" applyBorder="1" applyAlignment="1" applyProtection="1">
      <alignment horizontal="center" vertical="center"/>
      <protection locked="0"/>
    </xf>
    <xf numFmtId="0" fontId="15" fillId="9" borderId="4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164" fontId="3" fillId="3" borderId="4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64" fontId="3" fillId="0" borderId="4" xfId="0" applyNumberFormat="1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49" fontId="15" fillId="3" borderId="4" xfId="0" applyNumberFormat="1" applyFont="1" applyFill="1" applyBorder="1" applyAlignment="1" applyProtection="1">
      <alignment horizontal="center" vertical="center"/>
      <protection locked="0"/>
    </xf>
    <xf numFmtId="164" fontId="15" fillId="3" borderId="4" xfId="0" applyNumberFormat="1" applyFont="1" applyFill="1" applyBorder="1" applyAlignment="1" applyProtection="1">
      <alignment horizontal="center" vertical="center"/>
      <protection locked="0"/>
    </xf>
    <xf numFmtId="1" fontId="15" fillId="3" borderId="4" xfId="0" applyNumberFormat="1" applyFont="1" applyFill="1" applyBorder="1" applyAlignment="1" applyProtection="1">
      <alignment horizontal="center" vertical="center"/>
      <protection locked="0"/>
    </xf>
    <xf numFmtId="49" fontId="15" fillId="3" borderId="4" xfId="0" applyNumberFormat="1" applyFont="1" applyFill="1" applyBorder="1" applyAlignment="1" applyProtection="1">
      <alignment vertical="center"/>
      <protection locked="0"/>
    </xf>
    <xf numFmtId="0" fontId="15" fillId="6" borderId="4" xfId="0" applyFont="1" applyFill="1" applyBorder="1" applyAlignment="1" applyProtection="1">
      <alignment vertical="center"/>
      <protection locked="0"/>
    </xf>
    <xf numFmtId="49" fontId="15" fillId="0" borderId="4" xfId="0" applyNumberFormat="1" applyFont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 applyProtection="1">
      <alignment vertical="center"/>
      <protection locked="0"/>
    </xf>
    <xf numFmtId="164" fontId="15" fillId="0" borderId="4" xfId="0" applyNumberFormat="1" applyFont="1" applyBorder="1" applyAlignment="1" applyProtection="1">
      <alignment horizontal="center" vertical="center"/>
      <protection locked="0"/>
    </xf>
    <xf numFmtId="1" fontId="15" fillId="0" borderId="4" xfId="0" applyNumberFormat="1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0" fillId="7" borderId="3" xfId="0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9" fontId="1" fillId="17" borderId="13" xfId="0" applyNumberFormat="1" applyFont="1" applyFill="1" applyBorder="1" applyAlignment="1" applyProtection="1">
      <alignment horizontal="center" wrapText="1"/>
      <protection hidden="1"/>
    </xf>
    <xf numFmtId="1" fontId="7" fillId="17" borderId="4" xfId="0" applyNumberFormat="1" applyFont="1" applyFill="1" applyBorder="1" applyAlignment="1" applyProtection="1">
      <alignment horizontal="center"/>
      <protection hidden="1"/>
    </xf>
    <xf numFmtId="0" fontId="0" fillId="17" borderId="4" xfId="0" applyFill="1" applyBorder="1" applyAlignment="1" applyProtection="1">
      <alignment horizontal="center"/>
      <protection hidden="1"/>
    </xf>
    <xf numFmtId="0" fontId="0" fillId="17" borderId="8" xfId="0" applyFill="1" applyBorder="1" applyAlignment="1" applyProtection="1">
      <alignment horizontal="center"/>
      <protection hidden="1"/>
    </xf>
    <xf numFmtId="0" fontId="7" fillId="18" borderId="0" xfId="0" applyFont="1" applyFill="1" applyAlignment="1">
      <alignment horizontal="left"/>
    </xf>
    <xf numFmtId="0" fontId="1" fillId="18" borderId="0" xfId="0" applyFont="1" applyFill="1" applyAlignment="1">
      <alignment horizontal="center"/>
    </xf>
    <xf numFmtId="0" fontId="0" fillId="18" borderId="0" xfId="0" applyFill="1" applyAlignment="1">
      <alignment horizontal="center"/>
    </xf>
    <xf numFmtId="0" fontId="0" fillId="18" borderId="0" xfId="0" applyFill="1"/>
    <xf numFmtId="9" fontId="7" fillId="0" borderId="24" xfId="0" applyNumberFormat="1" applyFont="1" applyBorder="1" applyAlignment="1">
      <alignment horizontal="center"/>
    </xf>
    <xf numFmtId="0" fontId="7" fillId="12" borderId="20" xfId="0" applyFont="1" applyFill="1" applyBorder="1" applyAlignment="1">
      <alignment horizontal="center"/>
    </xf>
    <xf numFmtId="0" fontId="15" fillId="3" borderId="55" xfId="0" applyFont="1" applyFill="1" applyBorder="1" applyAlignment="1" applyProtection="1">
      <alignment horizontal="center" vertical="center"/>
      <protection locked="0"/>
    </xf>
    <xf numFmtId="0" fontId="15" fillId="0" borderId="55" xfId="0" applyFont="1" applyBorder="1" applyAlignment="1" applyProtection="1">
      <alignment horizontal="center" vertical="center"/>
      <protection locked="0"/>
    </xf>
    <xf numFmtId="0" fontId="8" fillId="2" borderId="57" xfId="0" applyFont="1" applyFill="1" applyBorder="1" applyAlignment="1" applyProtection="1">
      <alignment horizontal="center" vertical="center" wrapText="1"/>
      <protection hidden="1"/>
    </xf>
    <xf numFmtId="9" fontId="0" fillId="15" borderId="4" xfId="0" applyNumberFormat="1" applyFill="1" applyBorder="1" applyAlignment="1">
      <alignment horizontal="center"/>
    </xf>
    <xf numFmtId="0" fontId="16" fillId="0" borderId="4" xfId="0" applyFont="1" applyBorder="1" applyAlignment="1" applyProtection="1">
      <alignment horizontal="center" vertical="center"/>
      <protection locked="0"/>
    </xf>
    <xf numFmtId="0" fontId="9" fillId="7" borderId="8" xfId="0" applyFont="1" applyFill="1" applyBorder="1" applyAlignment="1" applyProtection="1">
      <alignment horizontal="center" vertical="center" wrapText="1"/>
      <protection hidden="1"/>
    </xf>
    <xf numFmtId="0" fontId="26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56" xfId="0" applyFont="1" applyFill="1" applyBorder="1" applyAlignment="1" applyProtection="1">
      <alignment horizontal="center" vertical="center" wrapText="1"/>
      <protection hidden="1"/>
    </xf>
    <xf numFmtId="0" fontId="15" fillId="19" borderId="4" xfId="0" applyFont="1" applyFill="1" applyBorder="1" applyAlignment="1">
      <alignment horizontal="left" vertical="center"/>
    </xf>
    <xf numFmtId="164" fontId="15" fillId="19" borderId="4" xfId="0" applyNumberFormat="1" applyFont="1" applyFill="1" applyBorder="1" applyAlignment="1">
      <alignment vertical="center"/>
    </xf>
    <xf numFmtId="0" fontId="15" fillId="19" borderId="4" xfId="0" applyFont="1" applyFill="1" applyBorder="1" applyAlignment="1">
      <alignment vertical="center"/>
    </xf>
    <xf numFmtId="1" fontId="13" fillId="19" borderId="4" xfId="0" applyNumberFormat="1" applyFont="1" applyFill="1" applyBorder="1" applyAlignment="1">
      <alignment horizontal="center" vertical="center"/>
    </xf>
    <xf numFmtId="0" fontId="15" fillId="19" borderId="4" xfId="0" applyFont="1" applyFill="1" applyBorder="1" applyAlignment="1">
      <alignment horizontal="center" vertical="center"/>
    </xf>
    <xf numFmtId="0" fontId="11" fillId="19" borderId="5" xfId="0" applyFont="1" applyFill="1" applyBorder="1" applyAlignment="1">
      <alignment horizontal="left" vertical="center"/>
    </xf>
    <xf numFmtId="0" fontId="15" fillId="19" borderId="6" xfId="0" applyFont="1" applyFill="1" applyBorder="1" applyAlignment="1">
      <alignment vertical="center" wrapText="1"/>
    </xf>
    <xf numFmtId="0" fontId="13" fillId="19" borderId="6" xfId="0" applyFont="1" applyFill="1" applyBorder="1" applyAlignment="1">
      <alignment vertical="center" wrapText="1"/>
    </xf>
    <xf numFmtId="0" fontId="15" fillId="7" borderId="4" xfId="0" applyFont="1" applyFill="1" applyBorder="1" applyAlignment="1">
      <alignment horizontal="left" vertical="center"/>
    </xf>
    <xf numFmtId="164" fontId="15" fillId="7" borderId="4" xfId="0" applyNumberFormat="1" applyFont="1" applyFill="1" applyBorder="1" applyAlignment="1">
      <alignment vertical="center"/>
    </xf>
    <xf numFmtId="0" fontId="15" fillId="7" borderId="4" xfId="0" applyFont="1" applyFill="1" applyBorder="1" applyAlignment="1">
      <alignment vertical="center"/>
    </xf>
    <xf numFmtId="1" fontId="13" fillId="7" borderId="4" xfId="0" applyNumberFormat="1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left" vertical="center"/>
    </xf>
    <xf numFmtId="0" fontId="15" fillId="7" borderId="6" xfId="0" applyFont="1" applyFill="1" applyBorder="1" applyAlignment="1">
      <alignment vertical="center" wrapText="1"/>
    </xf>
    <xf numFmtId="0" fontId="1" fillId="12" borderId="0" xfId="0" applyFont="1" applyFill="1"/>
    <xf numFmtId="0" fontId="0" fillId="15" borderId="4" xfId="0" applyFill="1" applyBorder="1" applyAlignment="1">
      <alignment horizontal="center"/>
    </xf>
    <xf numFmtId="0" fontId="0" fillId="15" borderId="20" xfId="0" applyFill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20" xfId="0" applyNumberFormat="1" applyBorder="1" applyAlignment="1">
      <alignment horizontal="center"/>
    </xf>
    <xf numFmtId="0" fontId="1" fillId="20" borderId="21" xfId="0" applyFont="1" applyFill="1" applyBorder="1" applyAlignment="1">
      <alignment horizontal="left"/>
    </xf>
    <xf numFmtId="0" fontId="7" fillId="20" borderId="25" xfId="0" applyFont="1" applyFill="1" applyBorder="1" applyAlignment="1">
      <alignment horizontal="center"/>
    </xf>
    <xf numFmtId="9" fontId="0" fillId="20" borderId="25" xfId="0" applyNumberFormat="1" applyFill="1" applyBorder="1" applyAlignment="1">
      <alignment horizontal="center"/>
    </xf>
    <xf numFmtId="9" fontId="0" fillId="20" borderId="43" xfId="0" applyNumberFormat="1" applyFill="1" applyBorder="1" applyAlignment="1">
      <alignment horizontal="center"/>
    </xf>
    <xf numFmtId="0" fontId="24" fillId="0" borderId="27" xfId="0" applyFont="1" applyBorder="1" applyAlignment="1" applyProtection="1">
      <alignment horizontal="center" vertical="center" textRotation="90" wrapText="1"/>
      <protection hidden="1"/>
    </xf>
    <xf numFmtId="0" fontId="25" fillId="0" borderId="28" xfId="0" applyFont="1" applyBorder="1" applyAlignment="1">
      <alignment horizontal="center" vertical="center" textRotation="90" wrapText="1"/>
    </xf>
    <xf numFmtId="0" fontId="25" fillId="0" borderId="29" xfId="0" applyFont="1" applyBorder="1" applyAlignment="1">
      <alignment horizontal="center" vertical="center" textRotation="90" wrapText="1"/>
    </xf>
    <xf numFmtId="0" fontId="24" fillId="0" borderId="1" xfId="0" applyFont="1" applyBorder="1" applyAlignment="1" applyProtection="1">
      <alignment horizontal="center"/>
      <protection hidden="1"/>
    </xf>
    <xf numFmtId="0" fontId="24" fillId="0" borderId="2" xfId="0" applyFont="1" applyBorder="1" applyAlignment="1" applyProtection="1">
      <alignment horizontal="center"/>
      <protection hidden="1"/>
    </xf>
    <xf numFmtId="0" fontId="24" fillId="0" borderId="15" xfId="0" applyFont="1" applyBorder="1" applyAlignment="1" applyProtection="1">
      <alignment horizontal="center"/>
      <protection hidden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hidden="1"/>
    </xf>
    <xf numFmtId="0" fontId="0" fillId="0" borderId="6" xfId="0" applyBorder="1" applyAlignment="1">
      <alignment horizontal="center"/>
    </xf>
    <xf numFmtId="0" fontId="0" fillId="0" borderId="8" xfId="0" applyBorder="1" applyAlignment="1" applyProtection="1">
      <alignment horizontal="center"/>
      <protection hidden="1"/>
    </xf>
    <xf numFmtId="0" fontId="0" fillId="0" borderId="47" xfId="0" applyBorder="1" applyAlignment="1">
      <alignment horizontal="center"/>
    </xf>
    <xf numFmtId="9" fontId="1" fillId="0" borderId="13" xfId="0" applyNumberFormat="1" applyFont="1" applyBorder="1" applyAlignment="1" applyProtection="1">
      <alignment horizontal="center" wrapText="1"/>
      <protection hidden="1"/>
    </xf>
    <xf numFmtId="0" fontId="0" fillId="0" borderId="14" xfId="0" applyBorder="1" applyAlignment="1">
      <alignment horizontal="center" wrapText="1"/>
    </xf>
    <xf numFmtId="1" fontId="7" fillId="0" borderId="4" xfId="0" applyNumberFormat="1" applyFont="1" applyBorder="1" applyAlignment="1" applyProtection="1">
      <alignment horizontal="center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3" borderId="36" xfId="0" applyFont="1" applyFill="1" applyBorder="1" applyProtection="1">
      <protection locked="0"/>
    </xf>
    <xf numFmtId="0" fontId="0" fillId="0" borderId="37" xfId="0" applyBorder="1" applyProtection="1">
      <protection locked="0"/>
    </xf>
    <xf numFmtId="0" fontId="2" fillId="3" borderId="49" xfId="0" applyFont="1" applyFill="1" applyBorder="1" applyProtection="1">
      <protection locked="0"/>
    </xf>
    <xf numFmtId="0" fontId="0" fillId="0" borderId="50" xfId="0" applyBorder="1" applyProtection="1">
      <protection locked="0"/>
    </xf>
    <xf numFmtId="0" fontId="0" fillId="0" borderId="51" xfId="0" applyBorder="1" applyProtection="1"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2" fillId="6" borderId="34" xfId="0" applyFont="1" applyFill="1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2" fillId="6" borderId="34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6" borderId="36" xfId="0" applyFont="1" applyFill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8" fillId="2" borderId="53" xfId="0" applyFont="1" applyFill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</cellXfs>
  <cellStyles count="1">
    <cellStyle name="Normal" xfId="0" builtinId="0"/>
  </cellStyles>
  <dxfs count="435">
    <dxf>
      <font>
        <b/>
        <i val="0"/>
        <condense val="0"/>
        <extend val="0"/>
        <color indexed="1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17"/>
      </font>
    </dxf>
    <dxf>
      <font>
        <b/>
        <i val="0"/>
        <color rgb="FFFF00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lor rgb="FF003399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C00000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57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FF0066"/>
      </font>
    </dxf>
    <dxf>
      <font>
        <b/>
        <i val="0"/>
        <color rgb="FFFF6600"/>
      </font>
    </dxf>
    <dxf>
      <font>
        <b/>
        <i val="0"/>
        <color rgb="FFC00000"/>
      </font>
    </dxf>
    <dxf>
      <font>
        <b/>
        <i val="0"/>
        <color rgb="FFFF0000"/>
      </font>
    </dxf>
    <dxf>
      <font>
        <b/>
        <i val="0"/>
        <color rgb="FFFF6600"/>
      </font>
    </dxf>
    <dxf>
      <font>
        <b/>
        <i val="0"/>
        <color rgb="FF00800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rgb="FFFF6600"/>
      </font>
    </dxf>
    <dxf>
      <font>
        <b val="0"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003399"/>
      </font>
    </dxf>
    <dxf>
      <font>
        <b/>
        <i val="0"/>
        <color rgb="FFFF6600"/>
      </font>
    </dxf>
    <dxf>
      <font>
        <b/>
        <i val="0"/>
        <condense val="0"/>
        <extend val="0"/>
        <color indexed="57"/>
      </font>
    </dxf>
    <dxf>
      <font>
        <b/>
        <i val="0"/>
        <strike val="0"/>
        <color rgb="FFC00000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53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FF66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color rgb="FF0080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FF0000"/>
      </font>
    </dxf>
    <dxf>
      <font>
        <b/>
        <i val="0"/>
        <color rgb="FFFF660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0"/>
      </font>
    </dxf>
    <dxf>
      <font>
        <b/>
        <i val="0"/>
        <color rgb="FFFF6600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003399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lor rgb="FFC00000"/>
      </font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53"/>
      </font>
    </dxf>
    <dxf>
      <font>
        <b/>
        <i val="0"/>
        <color rgb="FFFF00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lor rgb="FF0080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lor rgb="FF008000"/>
      </font>
    </dxf>
    <dxf>
      <font>
        <b/>
        <i val="0"/>
        <color rgb="FFFF6600"/>
      </font>
    </dxf>
    <dxf>
      <font>
        <b/>
        <i val="0"/>
        <strike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lor rgb="FFC0000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7"/>
      </font>
    </dxf>
    <dxf>
      <font>
        <b/>
        <i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lor rgb="FFC00000"/>
      </font>
    </dxf>
    <dxf>
      <font>
        <b/>
        <i val="0"/>
        <color rgb="FF008000"/>
      </font>
    </dxf>
    <dxf>
      <font>
        <b/>
        <i val="0"/>
        <color rgb="FFFF66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lor rgb="FF0080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lor rgb="FF003399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C00000"/>
      </font>
    </dxf>
    <dxf>
      <font>
        <b/>
        <i val="0"/>
        <condense val="0"/>
        <extend val="0"/>
        <color indexed="57"/>
      </font>
    </dxf>
    <dxf>
      <font>
        <b/>
        <i val="0"/>
        <color rgb="FFFF660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17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lor rgb="FF008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FF6600"/>
      </font>
    </dxf>
    <dxf>
      <font>
        <b/>
        <i val="0"/>
        <strike val="0"/>
        <color rgb="FFC0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lor rgb="FF003399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lor rgb="FFC00000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57"/>
      </font>
    </dxf>
    <dxf>
      <font>
        <b/>
        <i val="0"/>
        <strike val="0"/>
        <color rgb="FFC00000"/>
      </font>
    </dxf>
    <dxf>
      <font>
        <b/>
        <i val="0"/>
        <color rgb="FFFF006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lor rgb="FF0080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lor indexed="1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17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lor rgb="FF003399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C00000"/>
      </font>
    </dxf>
    <dxf>
      <font>
        <b/>
        <i val="0"/>
        <strike val="0"/>
        <color rgb="FFFF0000"/>
      </font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53"/>
      </font>
    </dxf>
    <dxf>
      <font>
        <b/>
        <i val="0"/>
        <color rgb="FF008000"/>
      </font>
    </dxf>
    <dxf>
      <font>
        <b/>
        <i val="0"/>
        <color rgb="FFFF66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lor rgb="FF008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lor rgb="FFC00000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lor rgb="FF003399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lor rgb="FFC00000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57"/>
      </font>
    </dxf>
    <dxf>
      <font>
        <b/>
        <i val="0"/>
        <strike val="0"/>
        <color rgb="FFC0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lor indexed="1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8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48"/>
        </patternFill>
      </fill>
    </dxf>
    <dxf>
      <font>
        <b/>
        <i val="0"/>
        <condense val="0"/>
        <extend val="0"/>
        <color indexed="8"/>
      </font>
      <fill>
        <patternFill>
          <bgColor indexed="57"/>
        </patternFill>
      </fill>
    </dxf>
    <dxf>
      <font>
        <b/>
        <i val="0"/>
        <color rgb="FF003399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FF6600"/>
      </font>
    </dxf>
    <dxf>
      <font>
        <b/>
        <i val="0"/>
        <strike val="0"/>
        <color rgb="FFC00000"/>
      </font>
    </dxf>
    <dxf>
      <font>
        <b/>
        <i val="0"/>
        <condense val="0"/>
        <extend val="0"/>
        <color indexed="10"/>
      </font>
    </dxf>
    <dxf>
      <font>
        <b/>
        <i val="0"/>
        <strike val="0"/>
        <color rgb="FFFF6600"/>
      </font>
    </dxf>
    <dxf>
      <font>
        <b/>
        <i val="0"/>
        <condense val="0"/>
        <extend val="0"/>
        <color indexed="17"/>
      </font>
    </dxf>
    <dxf>
      <font>
        <b/>
        <i val="0"/>
        <strike val="0"/>
        <color rgb="FFFF0000"/>
      </font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5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0"/>
      </font>
    </dxf>
    <dxf>
      <font>
        <b/>
        <i val="0"/>
        <color rgb="FFFF66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/>
        <top/>
        <bottom/>
      </border>
    </dxf>
    <dxf>
      <border outline="0">
        <left style="thick">
          <color rgb="FF000000"/>
        </left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/>
        <top/>
        <bottom/>
      </border>
    </dxf>
    <dxf>
      <border outline="0">
        <left style="thick">
          <color indexed="64"/>
        </left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left style="thick">
          <color indexed="64"/>
        </left>
      </border>
    </dxf>
    <dxf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left style="thick">
          <color rgb="FF000000"/>
        </left>
      </border>
    </dxf>
    <dxf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left style="thick">
          <color rgb="FF000000"/>
        </left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/>
        <top/>
        <bottom/>
      </border>
    </dxf>
    <dxf>
      <border outline="0">
        <left style="thick">
          <color indexed="64"/>
        </left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left style="thick">
          <color rgb="FF000000"/>
        </left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left style="thick">
          <color indexed="64"/>
        </left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left style="thick">
          <color rgb="FF000000"/>
        </left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left style="thick">
          <color indexed="64"/>
        </left>
      </border>
    </dxf>
  </dxfs>
  <tableStyles count="0" defaultTableStyle="TableStyleMedium2" defaultPivotStyle="PivotStyleLight16"/>
  <colors>
    <mruColors>
      <color rgb="FFFF00FF"/>
      <color rgb="FFCC00FF"/>
      <color rgb="FFCC66FF"/>
      <color rgb="FFCC99FF"/>
      <color rgb="FFFF6600"/>
      <color rgb="FF008000"/>
      <color rgb="FFFF0066"/>
      <color rgb="FFFF9933"/>
      <color rgb="FFCC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List1" displayName="List1" ref="N6:O14" totalsRowShown="0" tableBorderDxfId="434">
  <tableColumns count="2">
    <tableColumn id="1" xr3:uid="{00000000-0010-0000-0000-000001000000}" name="Column1" dataDxfId="433"/>
    <tableColumn id="2" xr3:uid="{00000000-0010-0000-0000-000002000000}" name="Column2" dataDxfId="43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List1_35" displayName="List1_35" ref="O6:P14" totalsRowShown="0" tableBorderDxfId="407">
  <sortState xmlns:xlrd2="http://schemas.microsoft.com/office/spreadsheetml/2017/richdata2" ref="O7:P14">
    <sortCondition ref="P7:P14"/>
  </sortState>
  <tableColumns count="2">
    <tableColumn id="1" xr3:uid="{00000000-0010-0000-0700-000001000000}" name="Column1" dataDxfId="406"/>
    <tableColumn id="2" xr3:uid="{00000000-0010-0000-0700-000002000000}" name="Column2" dataDxfId="40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8AB7056-AFDF-4256-9A13-E1DE3BBD29E7}" name="List111" displayName="List111" ref="N6:O14" totalsRowShown="0" tableBorderDxfId="431">
  <tableColumns count="2">
    <tableColumn id="1" xr3:uid="{67E4C808-91FD-4813-9605-9724D7A02578}" name="Column1" dataDxfId="430"/>
    <tableColumn id="2" xr3:uid="{2E197F07-2807-4EDC-8353-E73409030355}" name="Column2" dataDxfId="4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List1" displayName="List1_1" ref="N7:O22" totalsRowShown="0" tableBorderDxfId="428">
  <tableColumns count="2">
    <tableColumn id="1" xr3:uid="{00000000-0010-0000-0100-000001000000}" name="No Test" dataDxfId="427"/>
    <tableColumn id="2" xr3:uid="{00000000-0010-0000-0100-000002000000}" name="0" dataDxfId="4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3BDD357-2668-42D3-B39E-CBC865F846CE}" name="List1117" displayName="List1117" ref="N6:O14" totalsRowShown="0" tableBorderDxfId="425">
  <tableColumns count="2">
    <tableColumn id="1" xr3:uid="{AF0D0C83-3C4B-4AAF-8BFE-8AE80B5869DC}" name="Column1" dataDxfId="424"/>
    <tableColumn id="2" xr3:uid="{621B2EEC-87B4-411A-BA4E-EA80C0535156}" name="Column2" dataDxfId="42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List1" displayName="List1_2" ref="N6:O14" totalsRowShown="0" tableBorderDxfId="422">
  <tableColumns count="2">
    <tableColumn id="1" xr3:uid="{00000000-0010-0000-0200-000001000000}" name="Column1" dataDxfId="421"/>
    <tableColumn id="2" xr3:uid="{00000000-0010-0000-0200-000002000000}" name="Column2" dataDxfId="4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List1_23" displayName="List1_23" ref="N6:O14" totalsRowShown="0" tableBorderDxfId="419">
  <tableColumns count="2">
    <tableColumn id="1" xr3:uid="{00000000-0010-0000-0300-000001000000}" name="Column1" dataDxfId="418"/>
    <tableColumn id="2" xr3:uid="{00000000-0010-0000-0300-000002000000}" name="Column2" dataDxfId="4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9D40654-9636-4934-8054-1C73B9891694}" name="List1_238" displayName="List1_238" ref="N6:O14" totalsRowShown="0" tableBorderDxfId="416">
  <tableColumns count="2">
    <tableColumn id="1" xr3:uid="{FE0CCEDB-5D01-4ED5-8D0A-10CE43130A39}" name="Column1" dataDxfId="415"/>
    <tableColumn id="2" xr3:uid="{D1B683BE-EEA7-4E2A-94CF-A1C97894C777}" name="Column2" dataDxfId="41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List1" displayName="List1_4" ref="N6:O14" totalsRowShown="0" tableBorderDxfId="413">
  <tableColumns count="2">
    <tableColumn id="1" xr3:uid="{00000000-0010-0000-0500-000001000000}" name="Column1" dataDxfId="412"/>
    <tableColumn id="2" xr3:uid="{00000000-0010-0000-0500-000002000000}" name="Column2" dataDxfId="4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List1" displayName="List1_3" ref="O6:P14" totalsRowShown="0" tableBorderDxfId="410">
  <tableColumns count="2">
    <tableColumn id="1" xr3:uid="{00000000-0010-0000-0600-000001000000}" name="Column1" dataDxfId="409"/>
    <tableColumn id="2" xr3:uid="{00000000-0010-0000-0600-000002000000}" name="Column2" dataDxfId="40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33CC"/>
  </sheetPr>
  <dimension ref="A1:A17"/>
  <sheetViews>
    <sheetView topLeftCell="A7" workbookViewId="0">
      <selection activeCell="C22" sqref="C22"/>
    </sheetView>
  </sheetViews>
  <sheetFormatPr defaultRowHeight="13.2" x14ac:dyDescent="0.25"/>
  <cols>
    <col min="1" max="1" width="118" bestFit="1" customWidth="1"/>
  </cols>
  <sheetData>
    <row r="1" spans="1:1" ht="24.9" customHeight="1" x14ac:dyDescent="0.25">
      <c r="A1" s="6" t="s">
        <v>86</v>
      </c>
    </row>
    <row r="2" spans="1:1" s="1" customFormat="1" ht="24.9" customHeight="1" x14ac:dyDescent="0.25">
      <c r="A2" s="1" t="s">
        <v>0</v>
      </c>
    </row>
    <row r="3" spans="1:1" s="1" customFormat="1" ht="24.9" customHeight="1" x14ac:dyDescent="0.25">
      <c r="A3" s="1" t="s">
        <v>10</v>
      </c>
    </row>
    <row r="4" spans="1:1" s="1" customFormat="1" ht="24.9" customHeight="1" x14ac:dyDescent="0.25">
      <c r="A4" s="7" t="s">
        <v>61</v>
      </c>
    </row>
    <row r="5" spans="1:1" s="1" customFormat="1" ht="24.9" customHeight="1" x14ac:dyDescent="0.25">
      <c r="A5" s="79" t="s">
        <v>60</v>
      </c>
    </row>
    <row r="6" spans="1:1" s="1" customFormat="1" ht="24.9" customHeight="1" x14ac:dyDescent="0.25">
      <c r="A6" s="8" t="s">
        <v>1</v>
      </c>
    </row>
    <row r="7" spans="1:1" s="1" customFormat="1" ht="24.9" customHeight="1" x14ac:dyDescent="0.25">
      <c r="A7" s="66" t="s">
        <v>71</v>
      </c>
    </row>
    <row r="8" spans="1:1" s="1" customFormat="1" ht="24.9" customHeight="1" x14ac:dyDescent="0.25">
      <c r="A8" s="1" t="s">
        <v>2</v>
      </c>
    </row>
    <row r="9" spans="1:1" s="1" customFormat="1" ht="24.9" customHeight="1" x14ac:dyDescent="0.25">
      <c r="A9" s="79" t="s">
        <v>68</v>
      </c>
    </row>
    <row r="10" spans="1:1" s="1" customFormat="1" ht="24.9" customHeight="1" x14ac:dyDescent="0.25">
      <c r="A10" s="79" t="s">
        <v>67</v>
      </c>
    </row>
    <row r="11" spans="1:1" s="1" customFormat="1" ht="24.9" customHeight="1" x14ac:dyDescent="0.25">
      <c r="A11" s="1" t="s">
        <v>15</v>
      </c>
    </row>
    <row r="12" spans="1:1" ht="24.9" customHeight="1" x14ac:dyDescent="0.25">
      <c r="A12" s="9" t="s">
        <v>3</v>
      </c>
    </row>
    <row r="13" spans="1:1" ht="24.9" customHeight="1" x14ac:dyDescent="0.25">
      <c r="A13" s="10" t="s">
        <v>9</v>
      </c>
    </row>
    <row r="14" spans="1:1" ht="24.9" customHeight="1" x14ac:dyDescent="0.25">
      <c r="A14" s="1" t="s">
        <v>4</v>
      </c>
    </row>
    <row r="15" spans="1:1" ht="37.5" customHeight="1" x14ac:dyDescent="0.25">
      <c r="A15" s="1" t="s">
        <v>5</v>
      </c>
    </row>
    <row r="16" spans="1:1" ht="21.6" customHeight="1" x14ac:dyDescent="0.25">
      <c r="A16" s="105" t="s">
        <v>69</v>
      </c>
    </row>
    <row r="17" spans="1:1" ht="60" x14ac:dyDescent="0.5">
      <c r="A17" s="53" t="s">
        <v>87</v>
      </c>
    </row>
  </sheetData>
  <sheetProtection algorithmName="SHA-512" hashValue="uWv1iO0Ol2Qvt0RZA9U+BJr9y9ESB4atoaDHsAx4Ig45wQTEOdNiqdPl8qPLyrSsPL86alLMNl3gGSvES1RWsw==" saltValue="Twzdfu+9Ct5kXuAzm/5p2Q==" spinCount="100000" sheet="1" selectLockedCells="1"/>
  <phoneticPr fontId="0" type="noConversion"/>
  <pageMargins left="0.75" right="0.75" top="1" bottom="1" header="0.5" footer="0.5"/>
  <pageSetup paperSize="9" orientation="landscape" horizontalDpi="4294967293" verticalDpi="4294967293" r:id="rId1"/>
  <headerFooter alignWithMargins="0">
    <oddHeader>&amp;CInstructions for Synch Team Data Entry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00B0F0"/>
    <pageSetUpPr fitToPage="1"/>
  </sheetPr>
  <dimension ref="A1:P28"/>
  <sheetViews>
    <sheetView zoomScale="85" zoomScaleNormal="85" workbookViewId="0">
      <pane xSplit="3" ySplit="2" topLeftCell="D8" activePane="bottomRight" state="frozenSplit"/>
      <selection activeCell="D4" sqref="D4"/>
      <selection pane="topRight" activeCell="D4" sqref="D4"/>
      <selection pane="bottomLeft" activeCell="D4" sqref="D4"/>
      <selection pane="bottomRight" activeCell="D20" sqref="D20"/>
    </sheetView>
  </sheetViews>
  <sheetFormatPr defaultRowHeight="13.2" x14ac:dyDescent="0.25"/>
  <cols>
    <col min="1" max="1" width="5.6640625" style="4" customWidth="1"/>
    <col min="2" max="2" width="18.6640625" style="4" customWidth="1"/>
    <col min="3" max="3" width="18.6640625" customWidth="1"/>
    <col min="4" max="4" width="11.44140625" bestFit="1" customWidth="1"/>
    <col min="5" max="8" width="11.6640625" customWidth="1"/>
    <col min="9" max="9" width="18.6640625" customWidth="1"/>
    <col min="10" max="10" width="24.6640625" customWidth="1"/>
    <col min="11" max="11" width="8.5546875" hidden="1" customWidth="1"/>
    <col min="12" max="12" width="11.6640625" customWidth="1"/>
    <col min="13" max="13" width="18.6640625" customWidth="1"/>
    <col min="14" max="14" width="17.33203125" customWidth="1"/>
    <col min="15" max="15" width="30.33203125" hidden="1" customWidth="1"/>
    <col min="16" max="16" width="8.88671875" hidden="1" customWidth="1"/>
    <col min="17" max="17" width="9" customWidth="1"/>
    <col min="18" max="18" width="13.21875" customWidth="1"/>
  </cols>
  <sheetData>
    <row r="1" spans="1:16" s="2" customFormat="1" ht="14.4" thickTop="1" thickBot="1" x14ac:dyDescent="0.3">
      <c r="A1" s="60" t="s">
        <v>6</v>
      </c>
      <c r="B1" s="248"/>
      <c r="C1" s="249"/>
      <c r="D1" s="249"/>
      <c r="E1" s="249"/>
      <c r="F1" s="249"/>
      <c r="G1" s="249"/>
      <c r="H1" s="249"/>
      <c r="I1" s="250"/>
      <c r="J1" s="120" t="s">
        <v>88</v>
      </c>
      <c r="K1" s="65"/>
      <c r="L1" s="61" t="s">
        <v>57</v>
      </c>
      <c r="M1" s="106"/>
      <c r="N1" s="251" t="s">
        <v>59</v>
      </c>
      <c r="O1" s="69">
        <v>46203</v>
      </c>
    </row>
    <row r="2" spans="1:16" s="47" customFormat="1" ht="51" customHeight="1" x14ac:dyDescent="0.25">
      <c r="A2" s="57"/>
      <c r="B2" s="58" t="s">
        <v>70</v>
      </c>
      <c r="C2" s="58" t="s">
        <v>49</v>
      </c>
      <c r="D2" s="58" t="s">
        <v>12</v>
      </c>
      <c r="E2" s="58" t="s">
        <v>13</v>
      </c>
      <c r="F2" s="58" t="s">
        <v>11</v>
      </c>
      <c r="G2" s="77" t="s">
        <v>52</v>
      </c>
      <c r="H2" s="58" t="s">
        <v>66</v>
      </c>
      <c r="I2" s="59" t="s">
        <v>17</v>
      </c>
      <c r="J2" s="58" t="s">
        <v>45</v>
      </c>
      <c r="K2" s="59" t="s">
        <v>39</v>
      </c>
      <c r="L2" s="64" t="s">
        <v>50</v>
      </c>
      <c r="M2" s="107" t="s">
        <v>48</v>
      </c>
      <c r="N2" s="252"/>
      <c r="O2" s="104"/>
    </row>
    <row r="3" spans="1:16" s="4" customFormat="1" x14ac:dyDescent="0.25">
      <c r="A3" s="3">
        <v>1</v>
      </c>
      <c r="B3" s="159"/>
      <c r="C3" s="159"/>
      <c r="D3" s="160"/>
      <c r="E3" s="126"/>
      <c r="F3" s="161"/>
      <c r="G3" s="125" t="str">
        <f>IF(ISBLANK(D3),"",TRUNC(YEARFRAC(O1,D3)))</f>
        <v/>
      </c>
      <c r="H3" s="126"/>
      <c r="I3" s="51"/>
      <c r="J3" s="124"/>
      <c r="K3" s="124" t="e">
        <f>VLOOKUP(J3,O7:P14,2,FALSE)</f>
        <v>#N/A</v>
      </c>
      <c r="L3" s="124"/>
      <c r="M3" s="134"/>
      <c r="N3" s="182"/>
      <c r="O3" s="4" t="s">
        <v>7</v>
      </c>
      <c r="P3" s="4" t="s">
        <v>7</v>
      </c>
    </row>
    <row r="4" spans="1:16" x14ac:dyDescent="0.25">
      <c r="A4" s="3">
        <v>2</v>
      </c>
      <c r="B4" s="159"/>
      <c r="C4" s="162"/>
      <c r="D4" s="160"/>
      <c r="E4" s="126"/>
      <c r="F4" s="161"/>
      <c r="G4" s="125" t="str">
        <f>IF(ISBLANK(D4),"",TRUNC(YEARFRAC(O1,D4)))</f>
        <v/>
      </c>
      <c r="H4" s="126"/>
      <c r="I4" s="51"/>
      <c r="J4" s="124"/>
      <c r="K4" s="124" t="e">
        <f>VLOOKUP(J4,O7:P14,2,FALSE)</f>
        <v>#N/A</v>
      </c>
      <c r="L4" s="124"/>
      <c r="M4" s="134"/>
      <c r="N4" s="182"/>
      <c r="O4" s="4" t="s">
        <v>64</v>
      </c>
      <c r="P4" s="4" t="s">
        <v>77</v>
      </c>
    </row>
    <row r="5" spans="1:16" x14ac:dyDescent="0.25">
      <c r="A5" s="3">
        <v>3</v>
      </c>
      <c r="B5" s="159"/>
      <c r="C5" s="162"/>
      <c r="D5" s="160"/>
      <c r="E5" s="126"/>
      <c r="F5" s="161"/>
      <c r="G5" s="125" t="str">
        <f>IF(ISBLANK(D5),"",TRUNC(YEARFRAC(O1,D5)))</f>
        <v/>
      </c>
      <c r="H5" s="126"/>
      <c r="I5" s="51"/>
      <c r="J5" s="124"/>
      <c r="K5" s="124" t="e">
        <f>VLOOKUP(J5,O7:P14,2,FALSE)</f>
        <v>#N/A</v>
      </c>
      <c r="L5" s="124"/>
      <c r="M5" s="134"/>
      <c r="N5" s="182"/>
      <c r="O5" s="4" t="s">
        <v>65</v>
      </c>
    </row>
    <row r="6" spans="1:16" x14ac:dyDescent="0.25">
      <c r="A6" s="3">
        <v>4</v>
      </c>
      <c r="B6" s="159"/>
      <c r="C6" s="162"/>
      <c r="D6" s="160"/>
      <c r="E6" s="126"/>
      <c r="F6" s="161"/>
      <c r="G6" s="125" t="str">
        <f>IF(ISBLANK(D6),"",TRUNC(YEARFRAC(O1,D6)))</f>
        <v/>
      </c>
      <c r="H6" s="126"/>
      <c r="I6" s="51"/>
      <c r="J6" s="124"/>
      <c r="K6" s="124" t="e">
        <f>VLOOKUP(J6,O7:P14,2,FALSE)</f>
        <v>#N/A</v>
      </c>
      <c r="L6" s="124"/>
      <c r="M6" s="134"/>
      <c r="N6" s="182"/>
      <c r="O6" s="6" t="s">
        <v>19</v>
      </c>
      <c r="P6" s="23" t="s">
        <v>20</v>
      </c>
    </row>
    <row r="7" spans="1:16" x14ac:dyDescent="0.25">
      <c r="A7" s="3">
        <v>5</v>
      </c>
      <c r="B7" s="159"/>
      <c r="C7" s="162"/>
      <c r="D7" s="160"/>
      <c r="E7" s="126"/>
      <c r="F7" s="161"/>
      <c r="G7" s="125" t="str">
        <f>IF(ISBLANK(D7),"",TRUNC(YEARFRAC(O1,D7)))</f>
        <v/>
      </c>
      <c r="H7" s="126"/>
      <c r="I7" s="51"/>
      <c r="J7" s="124"/>
      <c r="K7" s="124" t="e">
        <f>VLOOKUP(J7,O7:P14,2,FALSE)</f>
        <v>#N/A</v>
      </c>
      <c r="L7" s="124"/>
      <c r="M7" s="134"/>
      <c r="N7" s="182"/>
      <c r="O7" t="s">
        <v>16</v>
      </c>
      <c r="P7" s="27">
        <v>0</v>
      </c>
    </row>
    <row r="8" spans="1:16" x14ac:dyDescent="0.25">
      <c r="A8" s="3">
        <v>6</v>
      </c>
      <c r="B8" s="159"/>
      <c r="C8" s="162"/>
      <c r="D8" s="160"/>
      <c r="E8" s="126"/>
      <c r="F8" s="161"/>
      <c r="G8" s="125" t="str">
        <f>IF(ISBLANK(D8),"",TRUNC(YEARFRAC(O1,D8)))</f>
        <v/>
      </c>
      <c r="H8" s="126"/>
      <c r="I8" s="51"/>
      <c r="J8" s="124"/>
      <c r="K8" s="124" t="e">
        <f>VLOOKUP(J8,O7:P14,2,FALSE)</f>
        <v>#N/A</v>
      </c>
      <c r="L8" s="124"/>
      <c r="M8" s="134"/>
      <c r="N8" s="182"/>
      <c r="O8" s="35" t="s">
        <v>78</v>
      </c>
      <c r="P8" s="27">
        <v>1</v>
      </c>
    </row>
    <row r="9" spans="1:16" x14ac:dyDescent="0.25">
      <c r="A9" s="3">
        <v>7</v>
      </c>
      <c r="B9" s="159"/>
      <c r="C9" s="162"/>
      <c r="D9" s="160"/>
      <c r="E9" s="126"/>
      <c r="F9" s="161"/>
      <c r="G9" s="125" t="str">
        <f>IF(ISBLANK(D9),"",TRUNC(YEARFRAC(O1,D9)))</f>
        <v/>
      </c>
      <c r="H9" s="126"/>
      <c r="I9" s="51"/>
      <c r="J9" s="124"/>
      <c r="K9" s="124" t="e">
        <f>VLOOKUP(J9,O7:P14,2,FALSE)</f>
        <v>#N/A</v>
      </c>
      <c r="L9" s="124"/>
      <c r="M9" s="134"/>
      <c r="N9" s="182"/>
      <c r="O9" t="s">
        <v>79</v>
      </c>
      <c r="P9" s="27">
        <v>2</v>
      </c>
    </row>
    <row r="10" spans="1:16" x14ac:dyDescent="0.25">
      <c r="A10" s="3">
        <v>8</v>
      </c>
      <c r="B10" s="159"/>
      <c r="C10" s="162"/>
      <c r="D10" s="160"/>
      <c r="E10" s="126"/>
      <c r="F10" s="161"/>
      <c r="G10" s="125" t="str">
        <f>IF(ISBLANK(D10),"",TRUNC(YEARFRAC(O1,D10)))</f>
        <v/>
      </c>
      <c r="H10" s="126"/>
      <c r="I10" s="51"/>
      <c r="J10" s="124"/>
      <c r="K10" s="124" t="e">
        <f>VLOOKUP(J10,O7:P14,2,FALSE)</f>
        <v>#N/A</v>
      </c>
      <c r="L10" s="124"/>
      <c r="M10" s="134"/>
      <c r="N10" s="182"/>
      <c r="O10" s="35" t="s">
        <v>80</v>
      </c>
      <c r="P10" s="27">
        <v>3</v>
      </c>
    </row>
    <row r="11" spans="1:16" x14ac:dyDescent="0.25">
      <c r="A11" s="3">
        <v>9</v>
      </c>
      <c r="B11" s="164"/>
      <c r="C11" s="165"/>
      <c r="D11" s="166"/>
      <c r="E11" s="131"/>
      <c r="F11" s="167"/>
      <c r="G11" s="125" t="str">
        <f>IF(ISBLANK(D11),"",TRUNC(YEARFRAC(O1,D11)))</f>
        <v/>
      </c>
      <c r="H11" s="131"/>
      <c r="I11" s="52"/>
      <c r="J11" s="130"/>
      <c r="K11" s="124" t="e">
        <f>VLOOKUP(J11,O7:P14,2,FALSE)</f>
        <v>#N/A</v>
      </c>
      <c r="L11" s="130"/>
      <c r="M11" s="136"/>
      <c r="N11" s="183"/>
      <c r="O11" s="35" t="s">
        <v>81</v>
      </c>
      <c r="P11" s="27">
        <v>4</v>
      </c>
    </row>
    <row r="12" spans="1:16" x14ac:dyDescent="0.25">
      <c r="A12" s="3">
        <v>10</v>
      </c>
      <c r="B12" s="164"/>
      <c r="C12" s="165"/>
      <c r="D12" s="166"/>
      <c r="E12" s="131"/>
      <c r="F12" s="167"/>
      <c r="G12" s="125" t="str">
        <f>IF(ISBLANK(D12),"",TRUNC(YEARFRAC(O1,D12)))</f>
        <v/>
      </c>
      <c r="H12" s="131"/>
      <c r="I12" s="52"/>
      <c r="J12" s="130"/>
      <c r="K12" s="130" t="e">
        <f>VLOOKUP(J12,O7:P14,2,FALSE)</f>
        <v>#N/A</v>
      </c>
      <c r="L12" s="130"/>
      <c r="M12" s="136"/>
      <c r="N12" s="183"/>
      <c r="O12" s="35" t="s">
        <v>82</v>
      </c>
      <c r="P12" s="27">
        <v>5</v>
      </c>
    </row>
    <row r="13" spans="1:16" x14ac:dyDescent="0.25">
      <c r="A13" s="3">
        <v>11</v>
      </c>
      <c r="B13" s="164"/>
      <c r="C13" s="165"/>
      <c r="D13" s="166"/>
      <c r="E13" s="131"/>
      <c r="F13" s="167"/>
      <c r="G13" s="125" t="str">
        <f>IF(ISBLANK(D13),"",TRUNC(YEARFRAC(O1,D13)))</f>
        <v/>
      </c>
      <c r="H13" s="131"/>
      <c r="I13" s="52"/>
      <c r="J13" s="130"/>
      <c r="K13" s="130" t="e">
        <f>VLOOKUP(J13,O7:P14,2,FALSE)</f>
        <v>#N/A</v>
      </c>
      <c r="L13" s="130"/>
      <c r="M13" s="136"/>
      <c r="N13" s="183"/>
      <c r="O13" s="35" t="s">
        <v>83</v>
      </c>
      <c r="P13" s="27">
        <v>6</v>
      </c>
    </row>
    <row r="14" spans="1:16" x14ac:dyDescent="0.25">
      <c r="A14" s="3">
        <v>12</v>
      </c>
      <c r="B14" s="164"/>
      <c r="C14" s="165"/>
      <c r="D14" s="166"/>
      <c r="E14" s="131"/>
      <c r="F14" s="167"/>
      <c r="G14" s="125" t="str">
        <f>IF(ISBLANK(D14),"",TRUNC(YEARFRAC(O1,D14)))</f>
        <v/>
      </c>
      <c r="H14" s="131"/>
      <c r="I14" s="52"/>
      <c r="J14" s="130"/>
      <c r="K14" s="130" t="e">
        <f>VLOOKUP(J14,O7:P14,2,FALSE)</f>
        <v>#N/A</v>
      </c>
      <c r="L14" s="130"/>
      <c r="M14" s="136"/>
      <c r="N14" s="183"/>
      <c r="O14" s="35" t="s">
        <v>84</v>
      </c>
      <c r="P14" s="27">
        <v>7</v>
      </c>
    </row>
    <row r="15" spans="1:16" x14ac:dyDescent="0.25">
      <c r="A15" s="3">
        <v>13</v>
      </c>
      <c r="B15" s="164"/>
      <c r="C15" s="165"/>
      <c r="D15" s="166"/>
      <c r="E15" s="130"/>
      <c r="F15" s="167"/>
      <c r="G15" s="125" t="str">
        <f>IF(ISBLANK(D15),"",TRUNC(YEARFRAC(O1,D15)))</f>
        <v/>
      </c>
      <c r="H15" s="131"/>
      <c r="I15" s="52"/>
      <c r="J15" s="130"/>
      <c r="K15" s="130" t="e">
        <f>VLOOKUP(J15,O7:P14,2,FALSE)</f>
        <v>#N/A</v>
      </c>
      <c r="L15" s="130"/>
      <c r="M15" s="135"/>
      <c r="N15" s="183"/>
    </row>
    <row r="16" spans="1:16" x14ac:dyDescent="0.25">
      <c r="A16" s="3">
        <v>14</v>
      </c>
      <c r="B16" s="164"/>
      <c r="C16" s="165"/>
      <c r="D16" s="166"/>
      <c r="E16" s="130"/>
      <c r="F16" s="167"/>
      <c r="G16" s="125" t="str">
        <f>IF(ISBLANK(D16),"",TRUNC(YEARFRAC(O1,D16)))</f>
        <v/>
      </c>
      <c r="H16" s="131"/>
      <c r="I16" s="52"/>
      <c r="J16" s="130"/>
      <c r="K16" s="130" t="e">
        <f>VLOOKUP(J16,O7:P14,2,FALSE)</f>
        <v>#N/A</v>
      </c>
      <c r="L16" s="130"/>
      <c r="M16" s="136"/>
      <c r="N16" s="183"/>
      <c r="O16" t="s">
        <v>21</v>
      </c>
      <c r="P16" t="s">
        <v>28</v>
      </c>
    </row>
    <row r="17" spans="1:16" x14ac:dyDescent="0.25">
      <c r="A17" s="3">
        <v>15</v>
      </c>
      <c r="B17" s="164"/>
      <c r="C17" s="165"/>
      <c r="D17" s="166"/>
      <c r="E17" s="130"/>
      <c r="F17" s="167"/>
      <c r="G17" s="125" t="str">
        <f>IF(ISBLANK(D17),"",TRUNC(YEARFRAC(O1,D17)))</f>
        <v/>
      </c>
      <c r="H17" s="131"/>
      <c r="I17" s="52"/>
      <c r="J17" s="130"/>
      <c r="K17" s="130" t="e">
        <f>VLOOKUP(J17,O7:P14,2,FALSE)</f>
        <v>#N/A</v>
      </c>
      <c r="L17" s="130"/>
      <c r="M17" s="136"/>
      <c r="N17" s="183"/>
      <c r="O17" t="s">
        <v>18</v>
      </c>
      <c r="P17" s="35" t="s">
        <v>58</v>
      </c>
    </row>
    <row r="18" spans="1:16" x14ac:dyDescent="0.25">
      <c r="A18" s="3">
        <v>16</v>
      </c>
      <c r="B18" s="164"/>
      <c r="C18" s="165"/>
      <c r="D18" s="166"/>
      <c r="E18" s="130"/>
      <c r="F18" s="167"/>
      <c r="G18" s="125" t="str">
        <f>IF(ISBLANK(D18),"",TRUNC(YEARFRAC(O1,D18)))</f>
        <v/>
      </c>
      <c r="H18" s="131"/>
      <c r="I18" s="52"/>
      <c r="J18" s="130"/>
      <c r="K18" s="130" t="e">
        <f>VLOOKUP(J18,O7:P14,2,FALSE)</f>
        <v>#N/A</v>
      </c>
      <c r="L18" s="130"/>
      <c r="M18" s="136"/>
      <c r="N18" s="183"/>
      <c r="O18" s="35" t="s">
        <v>44</v>
      </c>
      <c r="P18" s="34" t="s">
        <v>40</v>
      </c>
    </row>
    <row r="19" spans="1:16" x14ac:dyDescent="0.25">
      <c r="A19" s="3">
        <v>17</v>
      </c>
      <c r="B19" s="164"/>
      <c r="C19" s="165"/>
      <c r="D19" s="166"/>
      <c r="E19" s="130"/>
      <c r="F19" s="167"/>
      <c r="G19" s="125" t="str">
        <f>IF(ISBLANK(D19),"",TRUNC(YEARFRAC(O1,D19)))</f>
        <v/>
      </c>
      <c r="H19" s="131"/>
      <c r="I19" s="52"/>
      <c r="J19" s="130"/>
      <c r="K19" s="130" t="e">
        <f>VLOOKUP(J19,O7:P14,2,FALSE)</f>
        <v>#N/A</v>
      </c>
      <c r="L19" s="130"/>
      <c r="M19" s="136"/>
      <c r="N19" s="183"/>
      <c r="O19" s="35"/>
      <c r="P19" t="s">
        <v>23</v>
      </c>
    </row>
    <row r="20" spans="1:16" x14ac:dyDescent="0.25">
      <c r="A20" s="3">
        <v>18</v>
      </c>
      <c r="B20" s="164"/>
      <c r="C20" s="165"/>
      <c r="D20" s="166"/>
      <c r="E20" s="130"/>
      <c r="F20" s="167"/>
      <c r="G20" s="125" t="str">
        <f>IF(ISBLANK(D20),"",TRUNC(YEARFRAC(O1,D20)))</f>
        <v/>
      </c>
      <c r="H20" s="131"/>
      <c r="I20" s="52"/>
      <c r="J20" s="130"/>
      <c r="K20" s="130" t="e">
        <f>VLOOKUP(J20,O7:P14,2,FALSE)</f>
        <v>#N/A</v>
      </c>
      <c r="L20" s="130"/>
      <c r="M20" s="136"/>
      <c r="N20" s="183"/>
      <c r="P20" t="s">
        <v>24</v>
      </c>
    </row>
    <row r="21" spans="1:16" x14ac:dyDescent="0.25">
      <c r="A21" s="3">
        <v>19</v>
      </c>
      <c r="B21" s="164"/>
      <c r="C21" s="165"/>
      <c r="D21" s="166"/>
      <c r="E21" s="130"/>
      <c r="F21" s="167"/>
      <c r="G21" s="125" t="str">
        <f>IF(ISBLANK(D21),"",TRUNC(YEARFRAC(O1,D21)))</f>
        <v/>
      </c>
      <c r="H21" s="131"/>
      <c r="I21" s="52"/>
      <c r="J21" s="130"/>
      <c r="K21" s="130" t="e">
        <f>VLOOKUP(J21,O7:P14,2,FALSE)</f>
        <v>#N/A</v>
      </c>
      <c r="L21" s="130"/>
      <c r="M21" s="136"/>
      <c r="N21" s="183"/>
      <c r="P21" t="s">
        <v>25</v>
      </c>
    </row>
    <row r="22" spans="1:16" x14ac:dyDescent="0.25">
      <c r="A22" s="3">
        <v>20</v>
      </c>
      <c r="B22" s="164"/>
      <c r="C22" s="165"/>
      <c r="D22" s="166"/>
      <c r="E22" s="130"/>
      <c r="F22" s="167"/>
      <c r="G22" s="125" t="str">
        <f>IF(ISBLANK(D22),"",TRUNC(YEARFRAC(O1,D22)))</f>
        <v/>
      </c>
      <c r="H22" s="131"/>
      <c r="I22" s="52"/>
      <c r="J22" s="130"/>
      <c r="K22" s="130" t="e">
        <f>VLOOKUP(J22,O7:P14,2,FALSE)</f>
        <v>#N/A</v>
      </c>
      <c r="L22" s="130"/>
      <c r="M22" s="136"/>
      <c r="N22" s="183"/>
      <c r="O22" s="48"/>
      <c r="P22" t="s">
        <v>26</v>
      </c>
    </row>
    <row r="23" spans="1:16" s="46" customFormat="1" ht="109.95" customHeight="1" thickBot="1" x14ac:dyDescent="0.3">
      <c r="A23" s="43"/>
      <c r="B23" s="36">
        <f>COUNTA(B3:B22)</f>
        <v>0</v>
      </c>
      <c r="C23" s="36" t="str">
        <f>IF((COUNTA(B3:B22)&lt;8),"Below Minimum Number (ISA By-Law 1036)",(IF(COUNTA(B3:B22)&lt;12,"Team numbers eligible for AFSC only (ISA By-Law 1036)","Team numbers eligible for International Adult Competition")))</f>
        <v>Below Minimum Number (ISA By-Law 1036)</v>
      </c>
      <c r="D23" s="44" t="str">
        <f>IF(COUNTA(B3:B22)&lt;&gt;COUNTA(D3:D22),"Must enter all DOB","All DOB Entered")</f>
        <v>All DOB Entered</v>
      </c>
      <c r="E23" s="37" t="str">
        <f>IF(COUNTA(B3:B22)&lt;&gt;COUNTA(E3:E22),"All team members must belong to the same Member(ISA By-Law 1052)","All Member Numbers Entered")</f>
        <v>All Member Numbers Entered</v>
      </c>
      <c r="F23" s="37" t="str">
        <f>IF(COUNTA(B3:B22)&lt;&gt;COUNTA(F3:F22),"Must enter all POA","All POA Entered")</f>
        <v>All POA Entered</v>
      </c>
      <c r="G23" s="187" t="str">
        <f>IF(COUNTIF(G3:G22,"&lt;18"),"Ages Incorrect. Team Ineligible to enter. (ISA By-Law 1036)", IF(COUNTIF(G3:G22,"&lt;25")&gt;(COUNTA(B3:B22)*0.25),"Age % incorrect. Team ineligible to enter AFSC.", IF(COUNTIF(G3:G22,"&lt;25"),"Ages eligible for AFSC but not international Adult competition.", "Ages correct for International Adult Competition.")))</f>
        <v>Ages correct for International Adult Competition.</v>
      </c>
      <c r="H23" s="72" t="str">
        <f>IF(COUNTIF(H3:H22,"Perm Res")+COUNTIF(H3:H22,"Temp Visa")&gt;((B23-(B23-16))*0.5),"Citizenship incorrect. Excluding alternates, at least 50% must be Australian Citizens (ISA By-Law 1011.3)", IF(COUNTIF(H3:H22,"Temp Visa")&gt;(COUNTA(B3:B22)*0.25),"Citizenship incorrect. Excluding alternates, maximum 25% may not have permanent residency (ISA By-Law 1011.3)", IF(COUNTIF(H3:H22,"Perm Res")+COUNTIF(H3:H22,"Temp Visa")&gt;(COUNTA(B3:B22)*0.25),"Due to citizenship %, Team eligible for AFSC only","Citizenship percentage correct for international competition (CER Article 8.2.4)")))</f>
        <v>Citizenship percentage correct for international competition (CER Article 8.2.4)</v>
      </c>
      <c r="I23" s="42" t="s">
        <v>89</v>
      </c>
      <c r="J23" s="50" t="s">
        <v>51</v>
      </c>
      <c r="K23" s="49"/>
      <c r="L23" s="42" t="str">
        <f>IF((COUNTIF(L3:L22,"Yes")&gt;0),"Check percentages are correct for all teams","")</f>
        <v/>
      </c>
      <c r="M23" s="108" t="str">
        <f>IF(COUNTA(L3:L22)&gt;COUNTA(M3:M22),"Must give name and division of other team(s).","")</f>
        <v/>
      </c>
      <c r="N23" s="184" t="str">
        <f>IF(COUNTIF(N3:N22,"Yes")&lt;=(ROUND(COUNTA(B3:B22)*0.25,0)),"Team eligible only if correct percentage is on the ice","Team Composition Ineligible (ISA By-Law 1036)")</f>
        <v>Team eligible only if correct percentage is on the ice</v>
      </c>
      <c r="P23" s="34" t="s">
        <v>27</v>
      </c>
    </row>
    <row r="24" spans="1:16" ht="20.399999999999999" customHeight="1" thickTop="1" x14ac:dyDescent="0.25">
      <c r="E24" s="4"/>
      <c r="F24" s="4"/>
      <c r="G24" s="4"/>
      <c r="H24" s="4"/>
      <c r="I24" s="4"/>
    </row>
    <row r="25" spans="1:16" x14ac:dyDescent="0.25">
      <c r="A25" s="5" t="s">
        <v>14</v>
      </c>
      <c r="K25" s="24"/>
      <c r="L25" s="24"/>
    </row>
    <row r="26" spans="1:16" ht="15" customHeight="1" x14ac:dyDescent="0.25">
      <c r="A26" s="5" t="s">
        <v>42</v>
      </c>
      <c r="D26" s="12"/>
      <c r="E26" s="12"/>
      <c r="F26" s="12"/>
      <c r="G26" s="38"/>
      <c r="H26" s="2" t="s">
        <v>8</v>
      </c>
      <c r="I26" s="40"/>
      <c r="J26" s="12"/>
      <c r="K26" s="25"/>
      <c r="L26" s="25"/>
      <c r="M26" s="12"/>
    </row>
    <row r="27" spans="1:16" s="6" customFormat="1" ht="15" customHeight="1" x14ac:dyDescent="0.25">
      <c r="A27" s="6" t="s">
        <v>43</v>
      </c>
      <c r="D27" s="13"/>
      <c r="E27" s="13"/>
      <c r="F27" s="13"/>
      <c r="G27" s="39"/>
      <c r="H27" s="2" t="s">
        <v>8</v>
      </c>
      <c r="I27" s="41"/>
      <c r="J27" s="13"/>
      <c r="K27" s="26"/>
      <c r="L27" s="26"/>
      <c r="M27" s="13"/>
      <c r="O27"/>
    </row>
    <row r="28" spans="1:16" x14ac:dyDescent="0.25">
      <c r="O28" t="str">
        <f>IF(COUNTIF((G3:G22),"&lt;18")&gt;0,"Ages Incorrect. Team Ineligible to enter. (ISA By-Law 1036)",IF((COUNTIF((G3:G22),"&lt;25")&gt;(ROUND(COUNTA(B3:B22)*0.25,0))),"&gt;25% aged under 25. Team ineligible for International Adult competition. (ISA By-Law 1036)",(IF(COUNTIF(G3:G22,"&lt;10")&gt;0,"Team eligible for AFSC but ineligible for International Competition (ISU Rule 108.4c)",IF(COUNTIF(G3:G22,"&gt;15")&gt;0,"Team eligible for AFSC but ineligible for International Competition (ISU Rule 108.4c)","Team eligible for International Competition (ISU Rule 108.4c)")))))</f>
        <v>Team eligible for International Competition (ISU Rule 108.4c)</v>
      </c>
    </row>
  </sheetData>
  <sheetProtection algorithmName="SHA-512" hashValue="qyGbel7Q1aOoWIm2C0qgju1axGiPo3HsyCQw+CQOOPQrYaQsJpkxoyDd+zUatjFJQjl+VaKmsrokIo7Aj1OJVg==" saltValue="YPymgk9CAlcmBZuGKfaADg==" spinCount="100000" sheet="1" selectLockedCells="1" sort="0"/>
  <mergeCells count="2">
    <mergeCell ref="B1:I1"/>
    <mergeCell ref="N1:N2"/>
  </mergeCells>
  <phoneticPr fontId="0" type="noConversion"/>
  <conditionalFormatting sqref="B23">
    <cfRule type="cellIs" dxfId="89" priority="46" stopIfTrue="1" operator="greaterThanOrEqual">
      <formula>8</formula>
    </cfRule>
    <cfRule type="cellIs" dxfId="88" priority="45" stopIfTrue="1" operator="lessThan">
      <formula>8</formula>
    </cfRule>
  </conditionalFormatting>
  <conditionalFormatting sqref="C23">
    <cfRule type="cellIs" dxfId="87" priority="64" stopIfTrue="1" operator="equal">
      <formula>"Below Minimum Number (ISA By-Law 1036)"</formula>
    </cfRule>
    <cfRule type="cellIs" dxfId="86" priority="65" stopIfTrue="1" operator="equal">
      <formula>"Team numbers eligible for AFSC only (ISA By-Law 1036)"</formula>
    </cfRule>
    <cfRule type="cellIs" dxfId="85" priority="66" stopIfTrue="1" operator="equal">
      <formula>"Team numbers eligible for International Adult Competition"</formula>
    </cfRule>
  </conditionalFormatting>
  <conditionalFormatting sqref="D23">
    <cfRule type="cellIs" dxfId="84" priority="50" stopIfTrue="1" operator="equal">
      <formula>"Must enter all DOB"</formula>
    </cfRule>
    <cfRule type="cellIs" dxfId="83" priority="51" stopIfTrue="1" operator="equal">
      <formula>"All DOB Entered"</formula>
    </cfRule>
  </conditionalFormatting>
  <conditionalFormatting sqref="E23">
    <cfRule type="cellIs" dxfId="82" priority="52" stopIfTrue="1" operator="equal">
      <formula>"All team members must belong to the same Member(ISA By-Law 1052)"</formula>
    </cfRule>
    <cfRule type="cellIs" dxfId="81" priority="53" stopIfTrue="1" operator="equal">
      <formula>"All Member Numbers Entered"</formula>
    </cfRule>
  </conditionalFormatting>
  <conditionalFormatting sqref="F23">
    <cfRule type="cellIs" dxfId="80" priority="54" stopIfTrue="1" operator="equal">
      <formula>"Must enter all POA"</formula>
    </cfRule>
    <cfRule type="cellIs" dxfId="79" priority="55" stopIfTrue="1" operator="equal">
      <formula>"All POA Entered"</formula>
    </cfRule>
  </conditionalFormatting>
  <conditionalFormatting sqref="G3:G22">
    <cfRule type="cellIs" dxfId="78" priority="14" stopIfTrue="1" operator="greaterThan">
      <formula>27</formula>
    </cfRule>
    <cfRule type="cellIs" dxfId="77" priority="15" stopIfTrue="1" operator="lessThan">
      <formula>18</formula>
    </cfRule>
    <cfRule type="cellIs" dxfId="76" priority="16" stopIfTrue="1" operator="between">
      <formula>17</formula>
      <formula>28</formula>
    </cfRule>
  </conditionalFormatting>
  <conditionalFormatting sqref="G23">
    <cfRule type="cellIs" dxfId="75" priority="1" operator="equal">
      <formula>"Ages Incorrect. Team Ineligible to enter. (ISA By-Law 1036)"</formula>
    </cfRule>
    <cfRule type="cellIs" dxfId="74" priority="2" operator="equal">
      <formula>"Age % incorrect. Team ineligible to enter AFSC."</formula>
    </cfRule>
    <cfRule type="cellIs" dxfId="73" priority="3" operator="equal">
      <formula>"Ages eligible for AFSC but not international Adult competition."</formula>
    </cfRule>
    <cfRule type="cellIs" dxfId="72" priority="4" operator="equal">
      <formula>"Ages correct for International Adult Competition."</formula>
    </cfRule>
  </conditionalFormatting>
  <conditionalFormatting sqref="G24">
    <cfRule type="cellIs" dxfId="71" priority="11" operator="equal">
      <formula>"Team ages ineligible for Adult international competition"</formula>
    </cfRule>
    <cfRule type="cellIs" dxfId="70" priority="10" operator="equal">
      <formula>"Team Ages Eligible for Adult international competition"</formula>
    </cfRule>
  </conditionalFormatting>
  <conditionalFormatting sqref="H3:H22">
    <cfRule type="cellIs" dxfId="69" priority="5" operator="equal">
      <formula>"Temp Visa"</formula>
    </cfRule>
    <cfRule type="cellIs" dxfId="68" priority="57" stopIfTrue="1" operator="equal">
      <formula>"Perm Res"</formula>
    </cfRule>
    <cfRule type="cellIs" dxfId="67" priority="58" stopIfTrue="1" operator="equal">
      <formula>"yes"</formula>
    </cfRule>
  </conditionalFormatting>
  <conditionalFormatting sqref="H23">
    <cfRule type="cellIs" dxfId="66" priority="7" stopIfTrue="1" operator="equal">
      <formula>"Citizenship incorrect. Excluding alternates, maximum 25% may not have permanent residency (ISA By-Law 1011.3)"</formula>
    </cfRule>
    <cfRule type="cellIs" dxfId="65" priority="8" stopIfTrue="1" operator="equal">
      <formula>"Due to citizenship %, Team eligible for AFSC only"</formula>
    </cfRule>
    <cfRule type="cellIs" dxfId="64" priority="9" stopIfTrue="1" operator="equal">
      <formula>"Citizenship percentage correct for international competition (CER Article 8.2.4)"</formula>
    </cfRule>
    <cfRule type="cellIs" dxfId="63" priority="6" stopIfTrue="1" operator="equal">
      <formula>"Citizenship incorrect. Excluding alternates, at least 50% must be Australian Citizens (ISA By-Law 1011.3)"</formula>
    </cfRule>
  </conditionalFormatting>
  <conditionalFormatting sqref="I3:I22">
    <cfRule type="cellIs" dxfId="62" priority="22" stopIfTrue="1" operator="greaterThanOrEqual">
      <formula>15</formula>
    </cfRule>
    <cfRule type="cellIs" dxfId="61" priority="20" operator="equal">
      <formula>"Application made"</formula>
    </cfRule>
    <cfRule type="cellIs" dxfId="60" priority="17" operator="equal">
      <formula>"Not required"</formula>
    </cfRule>
    <cfRule type="cellIs" dxfId="59" priority="18" operator="equal">
      <formula>"Clearance received"</formula>
    </cfRule>
    <cfRule type="cellIs" dxfId="58" priority="19" operator="equal">
      <formula>"No application made"</formula>
    </cfRule>
    <cfRule type="cellIs" dxfId="57" priority="21" stopIfTrue="1" operator="lessThan">
      <formula>15</formula>
    </cfRule>
  </conditionalFormatting>
  <conditionalFormatting sqref="I23">
    <cfRule type="cellIs" dxfId="56" priority="49" stopIfTrue="1" operator="equal">
      <formula>"ISU Member or ISA Permission Required"</formula>
    </cfRule>
  </conditionalFormatting>
  <conditionalFormatting sqref="I3:J22 L3:M22">
    <cfRule type="cellIs" dxfId="55" priority="61" stopIfTrue="1" operator="equal">
      <formula>#REF!</formula>
    </cfRule>
    <cfRule type="cellIs" dxfId="54" priority="62" stopIfTrue="1" operator="equal">
      <formula>#REF!</formula>
    </cfRule>
    <cfRule type="cellIs" dxfId="53" priority="63" stopIfTrue="1" operator="equal">
      <formula>#REF!</formula>
    </cfRule>
  </conditionalFormatting>
  <conditionalFormatting sqref="J23">
    <cfRule type="cellIs" dxfId="52" priority="39" stopIfTrue="1" operator="equal">
      <formula>"Test levels correct. Team eligible."</formula>
    </cfRule>
  </conditionalFormatting>
  <conditionalFormatting sqref="K23">
    <cfRule type="cellIs" dxfId="51" priority="41" stopIfTrue="1" operator="equal">
      <formula>"Minimum 75% must have passed (ISA Rule 1046.1)"</formula>
    </cfRule>
    <cfRule type="cellIs" dxfId="50" priority="42" stopIfTrue="1" operator="notEqual">
      <formula>"Minimum 75% must have passed"</formula>
    </cfRule>
  </conditionalFormatting>
  <conditionalFormatting sqref="M23">
    <cfRule type="cellIs" dxfId="49" priority="26" operator="equal">
      <formula>"Must give name and division of other team(s)."</formula>
    </cfRule>
  </conditionalFormatting>
  <conditionalFormatting sqref="N3:N22">
    <cfRule type="cellIs" dxfId="48" priority="43" stopIfTrue="1" operator="equal">
      <formula>"yes"</formula>
    </cfRule>
    <cfRule type="cellIs" dxfId="47" priority="44" stopIfTrue="1" operator="equal">
      <formula>"no"</formula>
    </cfRule>
  </conditionalFormatting>
  <conditionalFormatting sqref="N23">
    <cfRule type="cellIs" dxfId="46" priority="73" stopIfTrue="1" operator="equal">
      <formula>"Team Eligible only if correct percentage is on the ice"</formula>
    </cfRule>
    <cfRule type="cellIs" dxfId="45" priority="74" stopIfTrue="1" operator="equal">
      <formula>"Team Composition Ineligible (ISA By-Law 1036)"</formula>
    </cfRule>
  </conditionalFormatting>
  <dataValidations xWindow="309" yWindow="289" count="9">
    <dataValidation type="date" allowBlank="1" showInputMessage="1" showErrorMessage="1" prompt="dd/mm/yyyy" sqref="D3:D22" xr:uid="{00000000-0002-0000-0700-000000000000}">
      <formula1>1</formula1>
      <formula2>73051</formula2>
    </dataValidation>
    <dataValidation allowBlank="1" showInputMessage="1" showErrorMessage="1" prompt="yyyy_x000a_" sqref="O1" xr:uid="{17A5A424-32DE-456A-9C80-C7A4C5B3FDC1}"/>
    <dataValidation allowBlank="1" showInputMessage="1" showErrorMessage="1" prompt="Give team names and divisions S, J, AN, BN, A or M in brackets_x000a_Eg Knightmoves (S)_x000a_" sqref="M3:M22" xr:uid="{00000000-0002-0000-0700-000004000000}"/>
    <dataValidation type="list" allowBlank="1" showInputMessage="1" showErrorMessage="1" prompt="Yes_x000a_Permanent Resident_x000a_Temporary Visa_x000a_" sqref="H3:H22" xr:uid="{00000000-0002-0000-0700-000001000000}">
      <formula1>$O$3:$O$5</formula1>
    </dataValidation>
    <dataValidation type="list" allowBlank="1" showInputMessage="1" showErrorMessage="1" prompt="Put Yes or leave blank if No." sqref="L3:L22" xr:uid="{00000000-0002-0000-0700-000007000000}">
      <formula1>$O$3</formula1>
    </dataValidation>
    <dataValidation type="list" allowBlank="1" showInputMessage="1" showErrorMessage="1" sqref="N3:N22" xr:uid="{00000000-0002-0000-0700-000008000000}">
      <formula1>$P$3:$P$4</formula1>
    </dataValidation>
    <dataValidation type="list" allowBlank="1" showInputMessage="1" showErrorMessage="1" sqref="J3:J22" xr:uid="{00000000-0002-0000-0700-000006000000}">
      <formula1>$O$7:$O$14</formula1>
    </dataValidation>
    <dataValidation type="list" allowBlank="1" showInputMessage="1" showErrorMessage="1" sqref="I3:I22" xr:uid="{00000000-0002-0000-0700-000003000000}">
      <formula1>$O$16:$O$19</formula1>
    </dataValidation>
    <dataValidation type="list" allowBlank="1" showInputMessage="1" showErrorMessage="1" sqref="M1" xr:uid="{D0AFF06B-934C-44B7-8488-F23AA7556724}">
      <formula1>$P$16:$P$23</formula1>
    </dataValidation>
  </dataValidations>
  <printOptions horizontalCentered="1" verticalCentered="1"/>
  <pageMargins left="0.35433070866141736" right="0.27559055118110237" top="1.2204724409448819" bottom="0.27559055118110237" header="0.27559055118110237" footer="0.15748031496062992"/>
  <pageSetup paperSize="9" scale="74" orientation="landscape" horizontalDpi="4294967293" verticalDpi="4294967293" r:id="rId1"/>
  <headerFooter alignWithMargins="0">
    <oddHeader>&amp;L&amp;G&amp;C&amp;"Arial,Bold"&amp;12  Ice Skating Australia Limited
Affiliated to the International Skating Union
Synchronized Skating
Form Document: &amp;F&amp;R&amp;"Arial,Bold"&amp;12&amp;A</oddHeader>
    <oddFooter>&amp;C&amp;D</oddFooter>
  </headerFooter>
  <legacyDrawingHF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8"/>
    <pageSetUpPr fitToPage="1"/>
  </sheetPr>
  <dimension ref="A1:P27"/>
  <sheetViews>
    <sheetView tabSelected="1" zoomScale="85" zoomScaleNormal="85" workbookViewId="0">
      <pane xSplit="3" ySplit="2" topLeftCell="D8" activePane="bottomRight" state="frozenSplit"/>
      <selection activeCell="D4" sqref="D4"/>
      <selection pane="topRight" activeCell="D4" sqref="D4"/>
      <selection pane="bottomLeft" activeCell="D4" sqref="D4"/>
      <selection pane="bottomRight" activeCell="D26" sqref="D26"/>
    </sheetView>
  </sheetViews>
  <sheetFormatPr defaultRowHeight="13.2" x14ac:dyDescent="0.25"/>
  <cols>
    <col min="1" max="1" width="5.6640625" style="4" customWidth="1"/>
    <col min="2" max="2" width="18.6640625" style="4" customWidth="1"/>
    <col min="3" max="3" width="18.6640625" customWidth="1"/>
    <col min="4" max="4" width="11.44140625" bestFit="1" customWidth="1"/>
    <col min="5" max="8" width="11.6640625" customWidth="1"/>
    <col min="9" max="9" width="18.6640625" customWidth="1"/>
    <col min="10" max="10" width="24.6640625" customWidth="1"/>
    <col min="11" max="11" width="8.5546875" hidden="1" customWidth="1"/>
    <col min="12" max="12" width="11.6640625" customWidth="1"/>
    <col min="13" max="13" width="18.6640625" customWidth="1"/>
    <col min="14" max="14" width="17.33203125" customWidth="1"/>
    <col min="15" max="15" width="30.33203125" hidden="1" customWidth="1"/>
    <col min="16" max="16" width="8.88671875" hidden="1" customWidth="1"/>
    <col min="17" max="17" width="9" customWidth="1"/>
  </cols>
  <sheetData>
    <row r="1" spans="1:16" s="2" customFormat="1" ht="14.4" thickTop="1" thickBot="1" x14ac:dyDescent="0.3">
      <c r="A1" s="60" t="s">
        <v>6</v>
      </c>
      <c r="B1" s="248"/>
      <c r="C1" s="249"/>
      <c r="D1" s="249"/>
      <c r="E1" s="249"/>
      <c r="F1" s="249"/>
      <c r="G1" s="249"/>
      <c r="H1" s="249"/>
      <c r="I1" s="250"/>
      <c r="J1" s="120" t="s">
        <v>88</v>
      </c>
      <c r="K1" s="65"/>
      <c r="L1" s="61" t="s">
        <v>57</v>
      </c>
      <c r="M1" s="106"/>
      <c r="N1" s="251" t="s">
        <v>59</v>
      </c>
      <c r="O1" s="69">
        <v>46203</v>
      </c>
    </row>
    <row r="2" spans="1:16" s="47" customFormat="1" ht="51" customHeight="1" x14ac:dyDescent="0.25">
      <c r="A2" s="57"/>
      <c r="B2" s="58" t="s">
        <v>70</v>
      </c>
      <c r="C2" s="58" t="s">
        <v>49</v>
      </c>
      <c r="D2" s="58" t="s">
        <v>12</v>
      </c>
      <c r="E2" s="58" t="s">
        <v>13</v>
      </c>
      <c r="F2" s="58" t="s">
        <v>11</v>
      </c>
      <c r="G2" s="58" t="s">
        <v>46</v>
      </c>
      <c r="H2" s="58" t="s">
        <v>66</v>
      </c>
      <c r="I2" s="59" t="s">
        <v>17</v>
      </c>
      <c r="J2" s="58" t="s">
        <v>45</v>
      </c>
      <c r="K2" s="59" t="s">
        <v>39</v>
      </c>
      <c r="L2" s="64" t="s">
        <v>50</v>
      </c>
      <c r="M2" s="107" t="s">
        <v>48</v>
      </c>
      <c r="N2" s="252"/>
      <c r="O2" s="121"/>
    </row>
    <row r="3" spans="1:16" s="4" customFormat="1" x14ac:dyDescent="0.25">
      <c r="A3" s="3">
        <v>1</v>
      </c>
      <c r="B3" s="159"/>
      <c r="C3" s="159"/>
      <c r="D3" s="160"/>
      <c r="E3" s="126"/>
      <c r="F3" s="161"/>
      <c r="G3" s="125" t="str">
        <f>IF(ISBLANK(D3),"",TRUNC(YEARFRAC(O1,D3)))</f>
        <v/>
      </c>
      <c r="H3" s="126"/>
      <c r="I3" s="51"/>
      <c r="J3" s="168"/>
      <c r="K3" s="124" t="e">
        <f>VLOOKUP(J3,O7:P14,2,FALSE)</f>
        <v>#N/A</v>
      </c>
      <c r="L3" s="124"/>
      <c r="M3" s="134"/>
      <c r="N3" s="182"/>
      <c r="O3" s="4" t="s">
        <v>7</v>
      </c>
      <c r="P3" s="4" t="s">
        <v>7</v>
      </c>
    </row>
    <row r="4" spans="1:16" x14ac:dyDescent="0.25">
      <c r="A4" s="3">
        <v>2</v>
      </c>
      <c r="B4" s="159"/>
      <c r="C4" s="162"/>
      <c r="D4" s="160"/>
      <c r="E4" s="126"/>
      <c r="F4" s="161"/>
      <c r="G4" s="125" t="str">
        <f>IF(ISBLANK(D4),"",TRUNC(YEARFRAC(O1,D4)))</f>
        <v/>
      </c>
      <c r="H4" s="126"/>
      <c r="I4" s="51"/>
      <c r="J4" s="168"/>
      <c r="K4" s="124" t="e">
        <f>VLOOKUP(J4,O7:P14,2,FALSE)</f>
        <v>#N/A</v>
      </c>
      <c r="L4" s="124"/>
      <c r="M4" s="134"/>
      <c r="N4" s="182"/>
      <c r="O4" s="4" t="s">
        <v>64</v>
      </c>
      <c r="P4" s="4" t="s">
        <v>77</v>
      </c>
    </row>
    <row r="5" spans="1:16" x14ac:dyDescent="0.25">
      <c r="A5" s="3">
        <v>3</v>
      </c>
      <c r="B5" s="159"/>
      <c r="C5" s="162"/>
      <c r="D5" s="160"/>
      <c r="E5" s="126"/>
      <c r="F5" s="161"/>
      <c r="G5" s="125" t="str">
        <f>IF(ISBLANK(D5),"",TRUNC(YEARFRAC(O1,D5)))</f>
        <v/>
      </c>
      <c r="H5" s="126"/>
      <c r="I5" s="51"/>
      <c r="J5" s="168"/>
      <c r="K5" s="124" t="e">
        <f>VLOOKUP(J5,O7:P14,2,FALSE)</f>
        <v>#N/A</v>
      </c>
      <c r="L5" s="124"/>
      <c r="M5" s="134"/>
      <c r="N5" s="182"/>
      <c r="O5" s="4" t="s">
        <v>65</v>
      </c>
    </row>
    <row r="6" spans="1:16" x14ac:dyDescent="0.25">
      <c r="A6" s="3">
        <v>4</v>
      </c>
      <c r="B6" s="159"/>
      <c r="C6" s="162"/>
      <c r="D6" s="160"/>
      <c r="E6" s="126"/>
      <c r="F6" s="161"/>
      <c r="G6" s="125" t="str">
        <f>IF(ISBLANK(D6),"",TRUNC(YEARFRAC(O1,D6)))</f>
        <v/>
      </c>
      <c r="H6" s="126"/>
      <c r="I6" s="51"/>
      <c r="J6" s="168"/>
      <c r="K6" s="124" t="e">
        <f>VLOOKUP(J6,O7:P14,2,FALSE)</f>
        <v>#N/A</v>
      </c>
      <c r="L6" s="124"/>
      <c r="M6" s="134"/>
      <c r="N6" s="182"/>
      <c r="O6" s="6" t="s">
        <v>19</v>
      </c>
      <c r="P6" s="23" t="s">
        <v>20</v>
      </c>
    </row>
    <row r="7" spans="1:16" x14ac:dyDescent="0.25">
      <c r="A7" s="3">
        <v>5</v>
      </c>
      <c r="B7" s="159"/>
      <c r="C7" s="162"/>
      <c r="D7" s="160"/>
      <c r="E7" s="126"/>
      <c r="F7" s="161"/>
      <c r="G7" s="125" t="str">
        <f>IF(ISBLANK(D7),"",TRUNC(YEARFRAC(O1,D7)))</f>
        <v/>
      </c>
      <c r="H7" s="126"/>
      <c r="I7" s="51"/>
      <c r="J7" s="168"/>
      <c r="K7" s="124" t="e">
        <f>VLOOKUP(J7,O7:P14,2,FALSE)</f>
        <v>#N/A</v>
      </c>
      <c r="L7" s="124"/>
      <c r="M7" s="134"/>
      <c r="N7" s="182"/>
      <c r="O7" t="s">
        <v>16</v>
      </c>
      <c r="P7" s="27">
        <v>0</v>
      </c>
    </row>
    <row r="8" spans="1:16" x14ac:dyDescent="0.25">
      <c r="A8" s="3">
        <v>6</v>
      </c>
      <c r="B8" s="159"/>
      <c r="C8" s="162"/>
      <c r="D8" s="160"/>
      <c r="E8" s="126"/>
      <c r="F8" s="161"/>
      <c r="G8" s="125" t="str">
        <f>IF(ISBLANK(D8),"",TRUNC(YEARFRAC(O1,D8)))</f>
        <v/>
      </c>
      <c r="H8" s="126"/>
      <c r="I8" s="51"/>
      <c r="J8" s="168"/>
      <c r="K8" s="124" t="e">
        <f>VLOOKUP(J8,O7:P14,2,FALSE)</f>
        <v>#N/A</v>
      </c>
      <c r="L8" s="124"/>
      <c r="M8" s="134"/>
      <c r="N8" s="182"/>
      <c r="O8" s="35" t="s">
        <v>78</v>
      </c>
      <c r="P8" s="27">
        <v>1</v>
      </c>
    </row>
    <row r="9" spans="1:16" x14ac:dyDescent="0.25">
      <c r="A9" s="3">
        <v>7</v>
      </c>
      <c r="B9" s="159"/>
      <c r="C9" s="162"/>
      <c r="D9" s="160"/>
      <c r="E9" s="126"/>
      <c r="F9" s="161"/>
      <c r="G9" s="125" t="str">
        <f>IF(ISBLANK(D9),"",TRUNC(YEARFRAC(O1,D9)))</f>
        <v/>
      </c>
      <c r="H9" s="126"/>
      <c r="I9" s="51"/>
      <c r="J9" s="168"/>
      <c r="K9" s="124" t="e">
        <f>VLOOKUP(J9,O7:P14,2,FALSE)</f>
        <v>#N/A</v>
      </c>
      <c r="L9" s="124"/>
      <c r="M9" s="134"/>
      <c r="N9" s="182"/>
      <c r="O9" t="s">
        <v>79</v>
      </c>
      <c r="P9" s="27">
        <v>2</v>
      </c>
    </row>
    <row r="10" spans="1:16" x14ac:dyDescent="0.25">
      <c r="A10" s="3">
        <v>8</v>
      </c>
      <c r="B10" s="159"/>
      <c r="C10" s="162"/>
      <c r="D10" s="160"/>
      <c r="E10" s="126"/>
      <c r="F10" s="161"/>
      <c r="G10" s="125" t="str">
        <f>IF(ISBLANK(D10),"",TRUNC(YEARFRAC(O1,D10)))</f>
        <v/>
      </c>
      <c r="H10" s="126"/>
      <c r="I10" s="51"/>
      <c r="J10" s="168"/>
      <c r="K10" s="124" t="e">
        <f>VLOOKUP(J10,O7:P14,2,FALSE)</f>
        <v>#N/A</v>
      </c>
      <c r="L10" s="124"/>
      <c r="M10" s="134"/>
      <c r="N10" s="182"/>
      <c r="O10" s="35" t="s">
        <v>80</v>
      </c>
      <c r="P10" s="27">
        <v>3</v>
      </c>
    </row>
    <row r="11" spans="1:16" x14ac:dyDescent="0.25">
      <c r="A11" s="3">
        <v>9</v>
      </c>
      <c r="B11" s="164"/>
      <c r="C11" s="165"/>
      <c r="D11" s="166"/>
      <c r="E11" s="131"/>
      <c r="F11" s="167"/>
      <c r="G11" s="125" t="str">
        <f>IF(ISBLANK(D11),"",TRUNC(YEARFRAC(O1,D11)))</f>
        <v/>
      </c>
      <c r="H11" s="131"/>
      <c r="I11" s="52"/>
      <c r="J11" s="169"/>
      <c r="K11" s="130" t="e">
        <f>VLOOKUP(J11,O7:P14,2,FALSE)</f>
        <v>#N/A</v>
      </c>
      <c r="L11" s="130"/>
      <c r="M11" s="136"/>
      <c r="N11" s="183"/>
      <c r="O11" s="35" t="s">
        <v>81</v>
      </c>
      <c r="P11" s="27">
        <v>4</v>
      </c>
    </row>
    <row r="12" spans="1:16" x14ac:dyDescent="0.25">
      <c r="A12" s="3">
        <v>10</v>
      </c>
      <c r="B12" s="164"/>
      <c r="C12" s="165"/>
      <c r="D12" s="166"/>
      <c r="E12" s="131"/>
      <c r="F12" s="167"/>
      <c r="G12" s="125" t="str">
        <f>IF(ISBLANK(D12),"",TRUNC(YEARFRAC(O1,D12)))</f>
        <v/>
      </c>
      <c r="H12" s="131"/>
      <c r="I12" s="52"/>
      <c r="J12" s="169"/>
      <c r="K12" s="130" t="e">
        <f>VLOOKUP(J12,O7:P14,2,FALSE)</f>
        <v>#N/A</v>
      </c>
      <c r="L12" s="130"/>
      <c r="M12" s="136"/>
      <c r="N12" s="183"/>
      <c r="O12" s="35" t="s">
        <v>82</v>
      </c>
      <c r="P12" s="27">
        <v>5</v>
      </c>
    </row>
    <row r="13" spans="1:16" x14ac:dyDescent="0.25">
      <c r="A13" s="3">
        <v>11</v>
      </c>
      <c r="B13" s="164"/>
      <c r="C13" s="165"/>
      <c r="D13" s="166"/>
      <c r="E13" s="131"/>
      <c r="F13" s="167"/>
      <c r="G13" s="125" t="str">
        <f>IF(ISBLANK(D13),"",TRUNC(YEARFRAC(O1,D13)))</f>
        <v/>
      </c>
      <c r="H13" s="131"/>
      <c r="I13" s="52"/>
      <c r="J13" s="169"/>
      <c r="K13" s="130" t="e">
        <f>VLOOKUP(J13,O7:P14,2,FALSE)</f>
        <v>#N/A</v>
      </c>
      <c r="L13" s="130"/>
      <c r="M13" s="136"/>
      <c r="N13" s="183"/>
      <c r="O13" s="35" t="s">
        <v>83</v>
      </c>
      <c r="P13" s="27">
        <v>6</v>
      </c>
    </row>
    <row r="14" spans="1:16" x14ac:dyDescent="0.25">
      <c r="A14" s="3">
        <v>12</v>
      </c>
      <c r="B14" s="164"/>
      <c r="C14" s="165"/>
      <c r="D14" s="166"/>
      <c r="E14" s="131"/>
      <c r="F14" s="167"/>
      <c r="G14" s="125" t="str">
        <f>IF(ISBLANK(D14),"",TRUNC(YEARFRAC(O1,D14)))</f>
        <v/>
      </c>
      <c r="H14" s="131"/>
      <c r="I14" s="52"/>
      <c r="J14" s="169"/>
      <c r="K14" s="130" t="e">
        <f>VLOOKUP(J14,O7:P14,2,FALSE)</f>
        <v>#N/A</v>
      </c>
      <c r="L14" s="130"/>
      <c r="M14" s="136"/>
      <c r="N14" s="183"/>
      <c r="O14" s="35" t="s">
        <v>84</v>
      </c>
      <c r="P14" s="27">
        <v>7</v>
      </c>
    </row>
    <row r="15" spans="1:16" x14ac:dyDescent="0.25">
      <c r="A15" s="3">
        <v>13</v>
      </c>
      <c r="B15" s="164"/>
      <c r="C15" s="165"/>
      <c r="D15" s="166"/>
      <c r="E15" s="130"/>
      <c r="F15" s="167"/>
      <c r="G15" s="125" t="str">
        <f>IF(ISBLANK(D15),"",TRUNC(YEARFRAC(O1,D15)))</f>
        <v/>
      </c>
      <c r="H15" s="131"/>
      <c r="I15" s="52"/>
      <c r="J15" s="169"/>
      <c r="K15" s="130" t="e">
        <f>VLOOKUP(J15,O7:P14,2,FALSE)</f>
        <v>#N/A</v>
      </c>
      <c r="L15" s="130"/>
      <c r="M15" s="135"/>
      <c r="N15" s="183"/>
    </row>
    <row r="16" spans="1:16" x14ac:dyDescent="0.25">
      <c r="A16" s="3">
        <v>14</v>
      </c>
      <c r="B16" s="164"/>
      <c r="C16" s="165"/>
      <c r="D16" s="166"/>
      <c r="E16" s="130"/>
      <c r="F16" s="167"/>
      <c r="G16" s="125" t="str">
        <f>IF(ISBLANK(D16),"",TRUNC(YEARFRAC(O1,D16)))</f>
        <v/>
      </c>
      <c r="H16" s="131"/>
      <c r="I16" s="52"/>
      <c r="J16" s="169"/>
      <c r="K16" s="130" t="e">
        <f>VLOOKUP(J16,O7:P14,2,FALSE)</f>
        <v>#N/A</v>
      </c>
      <c r="L16" s="130"/>
      <c r="M16" s="136"/>
      <c r="N16" s="183"/>
      <c r="O16" t="s">
        <v>21</v>
      </c>
      <c r="P16" t="s">
        <v>28</v>
      </c>
    </row>
    <row r="17" spans="1:16" x14ac:dyDescent="0.25">
      <c r="A17" s="3">
        <v>15</v>
      </c>
      <c r="B17" s="164"/>
      <c r="C17" s="165"/>
      <c r="D17" s="166"/>
      <c r="E17" s="130"/>
      <c r="F17" s="167"/>
      <c r="G17" s="125" t="str">
        <f>IF(ISBLANK(D17),"",TRUNC(YEARFRAC(O1,D17)))</f>
        <v/>
      </c>
      <c r="H17" s="131"/>
      <c r="I17" s="52"/>
      <c r="J17" s="169"/>
      <c r="K17" s="130" t="e">
        <f>VLOOKUP(J17,O7:P14,2,FALSE)</f>
        <v>#N/A</v>
      </c>
      <c r="L17" s="130"/>
      <c r="M17" s="136"/>
      <c r="N17" s="183"/>
      <c r="O17" t="s">
        <v>18</v>
      </c>
      <c r="P17" s="35" t="s">
        <v>58</v>
      </c>
    </row>
    <row r="18" spans="1:16" x14ac:dyDescent="0.25">
      <c r="A18" s="3">
        <v>16</v>
      </c>
      <c r="B18" s="164"/>
      <c r="C18" s="165"/>
      <c r="D18" s="166"/>
      <c r="E18" s="130"/>
      <c r="F18" s="167"/>
      <c r="G18" s="125" t="str">
        <f>IF(ISBLANK(D18),"",TRUNC(YEARFRAC(O1,D18)))</f>
        <v/>
      </c>
      <c r="H18" s="131"/>
      <c r="I18" s="52"/>
      <c r="J18" s="169"/>
      <c r="K18" s="130" t="e">
        <f>VLOOKUP(J18,O7:P14,2,FALSE)</f>
        <v>#N/A</v>
      </c>
      <c r="L18" s="130"/>
      <c r="M18" s="136"/>
      <c r="N18" s="183"/>
      <c r="O18" s="35" t="s">
        <v>44</v>
      </c>
      <c r="P18" s="34" t="s">
        <v>40</v>
      </c>
    </row>
    <row r="19" spans="1:16" x14ac:dyDescent="0.25">
      <c r="A19" s="3">
        <v>17</v>
      </c>
      <c r="B19" s="164"/>
      <c r="C19" s="165"/>
      <c r="D19" s="166"/>
      <c r="E19" s="130"/>
      <c r="F19" s="167"/>
      <c r="G19" s="125" t="str">
        <f>IF(ISBLANK(D19),"",TRUNC(YEARFRAC(O1,D19)))</f>
        <v/>
      </c>
      <c r="H19" s="131"/>
      <c r="I19" s="52"/>
      <c r="J19" s="169"/>
      <c r="K19" s="130" t="e">
        <f>VLOOKUP(J19,O7:P14,2,FALSE)</f>
        <v>#N/A</v>
      </c>
      <c r="L19" s="130"/>
      <c r="M19" s="136"/>
      <c r="N19" s="183"/>
      <c r="O19" s="35"/>
      <c r="P19" t="s">
        <v>23</v>
      </c>
    </row>
    <row r="20" spans="1:16" x14ac:dyDescent="0.25">
      <c r="A20" s="3">
        <v>18</v>
      </c>
      <c r="B20" s="164"/>
      <c r="C20" s="165"/>
      <c r="D20" s="166"/>
      <c r="E20" s="130"/>
      <c r="F20" s="167"/>
      <c r="G20" s="125" t="str">
        <f>IF(ISBLANK(D20),"",TRUNC(YEARFRAC(O1,D20)))</f>
        <v/>
      </c>
      <c r="H20" s="131"/>
      <c r="I20" s="52"/>
      <c r="J20" s="169"/>
      <c r="K20" s="130" t="e">
        <f>VLOOKUP(J20,O7:P14,2,FALSE)</f>
        <v>#N/A</v>
      </c>
      <c r="L20" s="130"/>
      <c r="M20" s="136"/>
      <c r="N20" s="183"/>
      <c r="P20" t="s">
        <v>24</v>
      </c>
    </row>
    <row r="21" spans="1:16" x14ac:dyDescent="0.25">
      <c r="A21" s="3">
        <v>19</v>
      </c>
      <c r="B21" s="164"/>
      <c r="C21" s="165"/>
      <c r="D21" s="166"/>
      <c r="E21" s="130"/>
      <c r="F21" s="167"/>
      <c r="G21" s="125" t="str">
        <f>IF(ISBLANK(D21),"",TRUNC(YEARFRAC(O1,D21)))</f>
        <v/>
      </c>
      <c r="H21" s="131"/>
      <c r="I21" s="52"/>
      <c r="J21" s="169"/>
      <c r="K21" s="130" t="e">
        <f>VLOOKUP(J21,O7:P14,2,FALSE)</f>
        <v>#N/A</v>
      </c>
      <c r="L21" s="130"/>
      <c r="M21" s="136"/>
      <c r="N21" s="183"/>
      <c r="P21" t="s">
        <v>25</v>
      </c>
    </row>
    <row r="22" spans="1:16" x14ac:dyDescent="0.25">
      <c r="A22" s="3">
        <v>20</v>
      </c>
      <c r="B22" s="164"/>
      <c r="C22" s="165"/>
      <c r="D22" s="166"/>
      <c r="E22" s="130"/>
      <c r="F22" s="167"/>
      <c r="G22" s="125" t="str">
        <f>IF(ISBLANK(D22),"",TRUNC(YEARFRAC(O1,D22)))</f>
        <v/>
      </c>
      <c r="H22" s="131"/>
      <c r="I22" s="52"/>
      <c r="J22" s="169"/>
      <c r="K22" s="130" t="e">
        <f>VLOOKUP(J22,O7:P14,2,FALSE)</f>
        <v>#N/A</v>
      </c>
      <c r="L22" s="130"/>
      <c r="M22" s="136"/>
      <c r="N22" s="183"/>
      <c r="O22" s="48"/>
      <c r="P22" t="s">
        <v>26</v>
      </c>
    </row>
    <row r="23" spans="1:16" s="46" customFormat="1" ht="109.95" customHeight="1" thickBot="1" x14ac:dyDescent="0.3">
      <c r="A23" s="43"/>
      <c r="B23" s="36">
        <f>COUNTA(B3:B22)</f>
        <v>0</v>
      </c>
      <c r="C23" s="72" t="str">
        <f>IF((COUNTA(B3:B22)&lt;8),"Below Minimum Number (ISA By-Law 1037)",(IF(COUNTA(B3:B22)&lt;12,"Team numbers eligible for AFSC only (ISA By-Law 1037)","Team numbers eligible for ISU Masters")))</f>
        <v>Below Minimum Number (ISA By-Law 1037)</v>
      </c>
      <c r="D23" s="73" t="str">
        <f>IF(COUNTA(B3:B22)&lt;&gt;COUNTA(D3:D22),"Must enter all DOB","All DOB Entered")</f>
        <v>All DOB Entered</v>
      </c>
      <c r="E23" s="74" t="str">
        <f>IF(COUNTA(B3:B22)&lt;&gt;COUNTA(E3:E22),"All team members must belong to the same Member(ISA By-Law 1004)","All Member Numbers Entered")</f>
        <v>All Member Numbers Entered</v>
      </c>
      <c r="F23" s="74" t="str">
        <f>IF(COUNTA(B3:B22)&lt;&gt;COUNTA(F3:F22),"Must enter all POA","All POA Entered")</f>
        <v>All POA Entered</v>
      </c>
      <c r="G23" s="72" t="str">
        <f>IF(COUNTIF(G3:G22,"&lt;18"),"Ages Incorrect. Team Ineligible to enter. (ISA By-Law 1037)",IF(COUNTIF(G3:G22,"&lt;25"),"Ages eligible for AFSC but not international Adult competition.",IF(COUNTIF(G3:G22,"&lt;28")&gt;(COUNTA(B3:B22)*0.25),"Age % eligible for AFSC but not international Adult competition.","Ages correct for International Adult Competition.")))</f>
        <v>Ages correct for International Adult Competition.</v>
      </c>
      <c r="H23" s="72" t="str">
        <f>IF(COUNTIF(H3:H22,"Perm Res")+COUNTIF(H3:H22,"Temp Visa")&gt;((B23-(B23-16))*0.5),"Citizenship incorrect. Excluding alternates, at least 50% must be Australian Citizens (ISA By-Law 1011.3)", IF(COUNTIF(H3:H22,"Temp Visa")&gt;(COUNTA(B3:B22)*0.25),"Citizenship incorrect. Excluding alternates, maximum 25% may not have permanent residency (ISA By-Law 1011.3)", IF(COUNTIF(H3:H22,"Perm Res")+COUNTIF(H3:H22,"Temp Visa")&gt;(COUNTA(B3:B22)*0.25),"Due to citizenship %, Team eligible for AFSC only","Citizenship percentage correct for international competition (CER Article 8.2.4)")))</f>
        <v>Citizenship percentage correct for international competition (CER Article 8.2.4)</v>
      </c>
      <c r="I23" s="75" t="s">
        <v>89</v>
      </c>
      <c r="J23" s="188" t="s">
        <v>51</v>
      </c>
      <c r="K23" s="76"/>
      <c r="L23" s="75" t="str">
        <f>IF((COUNTIF(L3:L22,"Yes")&gt;0),"Check percentages are correct for all teams","")</f>
        <v/>
      </c>
      <c r="M23" s="114" t="str">
        <f>IF(COUNTA(L3:L22)&gt;COUNTA(M3:M22),"Must give name and division of other team(s).","")</f>
        <v/>
      </c>
      <c r="N23" s="189" t="str">
        <f>IF(COUNTIF(N3:N22,"Yes")&lt;=(ROUND(COUNTA(B3:B22)*0.25,0)),"Team eligible only if correct percentage is on the ice","Team Composition Ineligible (ISA By-Law 1037)")</f>
        <v>Team eligible only if correct percentage is on the ice</v>
      </c>
      <c r="O23"/>
      <c r="P23" s="34" t="s">
        <v>27</v>
      </c>
    </row>
    <row r="24" spans="1:16" ht="13.8" thickTop="1" x14ac:dyDescent="0.25"/>
    <row r="25" spans="1:16" x14ac:dyDescent="0.25">
      <c r="A25" s="5" t="s">
        <v>14</v>
      </c>
      <c r="K25" s="24"/>
      <c r="L25" s="24"/>
    </row>
    <row r="26" spans="1:16" ht="15" customHeight="1" x14ac:dyDescent="0.25">
      <c r="A26" s="5" t="s">
        <v>42</v>
      </c>
      <c r="D26" s="12"/>
      <c r="E26" s="12"/>
      <c r="F26" s="12"/>
      <c r="G26" s="38"/>
      <c r="H26" s="2" t="s">
        <v>8</v>
      </c>
      <c r="I26" s="40"/>
      <c r="J26" s="12"/>
      <c r="K26" s="25"/>
      <c r="L26" s="25"/>
      <c r="M26" s="12"/>
    </row>
    <row r="27" spans="1:16" s="6" customFormat="1" ht="15" customHeight="1" x14ac:dyDescent="0.25">
      <c r="A27" s="6" t="s">
        <v>43</v>
      </c>
      <c r="D27" s="13"/>
      <c r="E27" s="13"/>
      <c r="F27" s="13"/>
      <c r="G27" s="39"/>
      <c r="H27" s="2" t="s">
        <v>8</v>
      </c>
      <c r="I27" s="41"/>
      <c r="J27" s="13"/>
      <c r="K27" s="26"/>
      <c r="L27" s="26"/>
      <c r="M27" s="13"/>
      <c r="O27"/>
    </row>
  </sheetData>
  <sheetProtection algorithmName="SHA-512" hashValue="W2ykPaq9ekx201XVXvIrjc+QVC5cRmhkgpj8sATa0MFBDAPaUrcXxXTa5r3fT096uxWVFN7ahZeSerxq1kgYZA==" saltValue="PUC5SlRR3luncKinCjclyA==" spinCount="100000" sheet="1" selectLockedCells="1" sort="0"/>
  <mergeCells count="2">
    <mergeCell ref="N1:N2"/>
    <mergeCell ref="B1:I1"/>
  </mergeCells>
  <conditionalFormatting sqref="B23">
    <cfRule type="cellIs" dxfId="44" priority="39" stopIfTrue="1" operator="greaterThanOrEqual">
      <formula>8</formula>
    </cfRule>
    <cfRule type="cellIs" dxfId="43" priority="38" stopIfTrue="1" operator="lessThan">
      <formula>8</formula>
    </cfRule>
  </conditionalFormatting>
  <conditionalFormatting sqref="C23">
    <cfRule type="cellIs" dxfId="42" priority="58" stopIfTrue="1" operator="equal">
      <formula>"Team Eligible for International Adult Competition"</formula>
    </cfRule>
    <cfRule type="cellIs" dxfId="41" priority="57" stopIfTrue="1" operator="equal">
      <formula>"Team numbers eligible for AFSC only (ISA By-Law 1037)"</formula>
    </cfRule>
    <cfRule type="cellIs" dxfId="40" priority="56" stopIfTrue="1" operator="equal">
      <formula>"Below Minimum Number (ISA By-Law 1037)"</formula>
    </cfRule>
  </conditionalFormatting>
  <conditionalFormatting sqref="D23">
    <cfRule type="cellIs" dxfId="39" priority="44" stopIfTrue="1" operator="equal">
      <formula>"All DOB Entered"</formula>
    </cfRule>
    <cfRule type="cellIs" dxfId="38" priority="43" stopIfTrue="1" operator="equal">
      <formula>"Must enter all DOB"</formula>
    </cfRule>
  </conditionalFormatting>
  <conditionalFormatting sqref="E23">
    <cfRule type="cellIs" dxfId="37" priority="46" stopIfTrue="1" operator="equal">
      <formula>"All Member Numbers Entered"</formula>
    </cfRule>
    <cfRule type="cellIs" dxfId="36" priority="45" stopIfTrue="1" operator="equal">
      <formula>"All team members must belong to the same Member(ISA by-Law 1052)"</formula>
    </cfRule>
  </conditionalFormatting>
  <conditionalFormatting sqref="F23">
    <cfRule type="cellIs" dxfId="35" priority="48" stopIfTrue="1" operator="equal">
      <formula>"All POA Entered"</formula>
    </cfRule>
    <cfRule type="cellIs" dxfId="34" priority="47" stopIfTrue="1" operator="equal">
      <formula>"Must enter all POA"</formula>
    </cfRule>
  </conditionalFormatting>
  <conditionalFormatting sqref="G3:G10">
    <cfRule type="cellIs" dxfId="33" priority="2" stopIfTrue="1" operator="lessThan">
      <formula>18</formula>
    </cfRule>
    <cfRule type="cellIs" dxfId="32" priority="3" stopIfTrue="1" operator="between">
      <formula>17</formula>
      <formula>28</formula>
    </cfRule>
  </conditionalFormatting>
  <conditionalFormatting sqref="G3:G22">
    <cfRule type="cellIs" dxfId="31" priority="1" stopIfTrue="1" operator="greaterThan">
      <formula>27</formula>
    </cfRule>
  </conditionalFormatting>
  <conditionalFormatting sqref="G11:G22">
    <cfRule type="cellIs" dxfId="30" priority="13" stopIfTrue="1" operator="between">
      <formula>18</formula>
      <formula>27</formula>
    </cfRule>
    <cfRule type="cellIs" dxfId="29" priority="14" stopIfTrue="1" operator="lessThan">
      <formula>18</formula>
    </cfRule>
  </conditionalFormatting>
  <conditionalFormatting sqref="G23">
    <cfRule type="cellIs" dxfId="28" priority="4" stopIfTrue="1" operator="equal">
      <formula>"Ages Incorrect. Team Ineligible to enter. (ISA By-Law 1037)"</formula>
    </cfRule>
    <cfRule type="cellIs" dxfId="27" priority="5" stopIfTrue="1" operator="equal">
      <formula>"Ages eligible for AFSC but not international Adult competition."</formula>
    </cfRule>
    <cfRule type="cellIs" dxfId="26" priority="6" operator="equal">
      <formula>"Age % eligible for AFSC but not international Adult competition."</formula>
    </cfRule>
    <cfRule type="cellIs" dxfId="25" priority="61" stopIfTrue="1" operator="equal">
      <formula>"Ages correct for International Adult Competition."</formula>
    </cfRule>
  </conditionalFormatting>
  <conditionalFormatting sqref="H3:H22">
    <cfRule type="cellIs" dxfId="24" priority="7" operator="equal">
      <formula>"Temp Visa"</formula>
    </cfRule>
    <cfRule type="cellIs" dxfId="23" priority="50" stopIfTrue="1" operator="equal">
      <formula>"yes"</formula>
    </cfRule>
    <cfRule type="cellIs" dxfId="22" priority="49" stopIfTrue="1" operator="equal">
      <formula>"Perm Res"</formula>
    </cfRule>
  </conditionalFormatting>
  <conditionalFormatting sqref="H23">
    <cfRule type="cellIs" dxfId="21" priority="8" stopIfTrue="1" operator="equal">
      <formula>"Citizenship incorrect. Excluding alternates, at least 50% must be Australian Citizens (ISA By-Law 1011.3)"</formula>
    </cfRule>
    <cfRule type="cellIs" dxfId="20" priority="11" stopIfTrue="1" operator="equal">
      <formula>"Citizenship percentage correct for international competition (CER Article 8.2.4)"</formula>
    </cfRule>
    <cfRule type="cellIs" dxfId="19" priority="10" stopIfTrue="1" operator="equal">
      <formula>"Due to citizenship %, Team eligible for AFSC only"</formula>
    </cfRule>
    <cfRule type="cellIs" dxfId="18" priority="9" stopIfTrue="1" operator="equal">
      <formula>"Citizenship incorrect. Excluding alternates, maximum 25% may not have permanent residency (ISA By-Law 1011.3)"</formula>
    </cfRule>
  </conditionalFormatting>
  <conditionalFormatting sqref="I3:I22">
    <cfRule type="cellIs" dxfId="17" priority="23" stopIfTrue="1" operator="greaterThanOrEqual">
      <formula>15</formula>
    </cfRule>
    <cfRule type="cellIs" dxfId="16" priority="22" stopIfTrue="1" operator="lessThan">
      <formula>15</formula>
    </cfRule>
    <cfRule type="cellIs" dxfId="15" priority="21" operator="equal">
      <formula>"Application made"</formula>
    </cfRule>
    <cfRule type="cellIs" dxfId="14" priority="20" operator="equal">
      <formula>"No application made"</formula>
    </cfRule>
    <cfRule type="cellIs" dxfId="13" priority="19" operator="equal">
      <formula>"Clearance received"</formula>
    </cfRule>
    <cfRule type="cellIs" dxfId="12" priority="18" operator="equal">
      <formula>"Not required"</formula>
    </cfRule>
  </conditionalFormatting>
  <conditionalFormatting sqref="I3:J22 L3:M22">
    <cfRule type="cellIs" dxfId="11" priority="53" stopIfTrue="1" operator="equal">
      <formula>#REF!</formula>
    </cfRule>
    <cfRule type="cellIs" dxfId="10" priority="54" stopIfTrue="1" operator="equal">
      <formula>#REF!</formula>
    </cfRule>
    <cfRule type="cellIs" dxfId="9" priority="55" stopIfTrue="1" operator="equal">
      <formula>#REF!</formula>
    </cfRule>
  </conditionalFormatting>
  <conditionalFormatting sqref="I23:M23">
    <cfRule type="cellIs" dxfId="8" priority="42" stopIfTrue="1" operator="equal">
      <formula>"ISU Member or ISA Permission Required"</formula>
    </cfRule>
  </conditionalFormatting>
  <conditionalFormatting sqref="J23">
    <cfRule type="cellIs" dxfId="7" priority="33" stopIfTrue="1" operator="equal">
      <formula>"Test levels correct. Team eligible."</formula>
    </cfRule>
  </conditionalFormatting>
  <conditionalFormatting sqref="K23">
    <cfRule type="cellIs" dxfId="6" priority="34" stopIfTrue="1" operator="equal">
      <formula>"Minimum 75% must have passed (ISA Rule 1046.1)"</formula>
    </cfRule>
    <cfRule type="cellIs" dxfId="5" priority="35" stopIfTrue="1" operator="notEqual">
      <formula>"Minimum 75% must have passed"</formula>
    </cfRule>
  </conditionalFormatting>
  <conditionalFormatting sqref="M23">
    <cfRule type="cellIs" dxfId="4" priority="27" operator="equal">
      <formula>"Must give name and division of other team(s)."</formula>
    </cfRule>
  </conditionalFormatting>
  <conditionalFormatting sqref="N3:N22">
    <cfRule type="cellIs" dxfId="3" priority="37" stopIfTrue="1" operator="equal">
      <formula>"no"</formula>
    </cfRule>
    <cfRule type="cellIs" dxfId="2" priority="36" stopIfTrue="1" operator="equal">
      <formula>"yes"</formula>
    </cfRule>
  </conditionalFormatting>
  <conditionalFormatting sqref="N23">
    <cfRule type="cellIs" dxfId="1" priority="63" stopIfTrue="1" operator="equal">
      <formula>"Team Eligible only if correct percentage is on the ice"</formula>
    </cfRule>
    <cfRule type="cellIs" dxfId="0" priority="64" stopIfTrue="1" operator="equal">
      <formula>"Team Composition Ineligible (ISA By-Law 1037)"</formula>
    </cfRule>
  </conditionalFormatting>
  <dataValidations count="9">
    <dataValidation allowBlank="1" showInputMessage="1" showErrorMessage="1" prompt="Give team names and divisions S, J, AN, BN, A or M in brackets_x000a_Eg Knightmoves (S)_x000a_" sqref="M3:M22" xr:uid="{00000000-0002-0000-0800-000004000000}"/>
    <dataValidation allowBlank="1" showInputMessage="1" showErrorMessage="1" prompt="yyyy_x000a_" sqref="O1" xr:uid="{03B08D12-3222-4968-8678-C36EA8546FA1}"/>
    <dataValidation type="date" allowBlank="1" showInputMessage="1" showErrorMessage="1" prompt="dd/mm/yyyy" sqref="D3:D22" xr:uid="{00000000-0002-0000-0800-000008000000}">
      <formula1>1</formula1>
      <formula2>73051</formula2>
    </dataValidation>
    <dataValidation type="list" allowBlank="1" showInputMessage="1" showErrorMessage="1" sqref="N3:N22" xr:uid="{00000000-0002-0000-0800-000000000000}">
      <formula1>$P$3:$P$4</formula1>
    </dataValidation>
    <dataValidation type="list" allowBlank="1" showInputMessage="1" showErrorMessage="1" prompt="Put Yes or leave blank if No." sqref="L3:L22" xr:uid="{00000000-0002-0000-0800-000001000000}">
      <formula1>$O$3</formula1>
    </dataValidation>
    <dataValidation type="list" allowBlank="1" showInputMessage="1" showErrorMessage="1" prompt="Yes_x000a_Permanent Resident_x000a_Temporary Visa_x000a_" sqref="H3:H22" xr:uid="{00000000-0002-0000-0800-000007000000}">
      <formula1>$O$3:$O$5</formula1>
    </dataValidation>
    <dataValidation type="list" allowBlank="1" showInputMessage="1" showErrorMessage="1" sqref="J3:J22" xr:uid="{00000000-0002-0000-0800-000002000000}">
      <formula1>$O$7:$O$14</formula1>
    </dataValidation>
    <dataValidation type="list" allowBlank="1" showInputMessage="1" showErrorMessage="1" sqref="I3:I22" xr:uid="{00000000-0002-0000-0800-000005000000}">
      <formula1>$O$16:$O$19</formula1>
    </dataValidation>
    <dataValidation type="list" allowBlank="1" showInputMessage="1" showErrorMessage="1" sqref="M1" xr:uid="{326777EA-FD5C-4A65-B11C-B8D441923639}">
      <formula1>$P$16:$P$23</formula1>
    </dataValidation>
  </dataValidations>
  <printOptions horizontalCentered="1" verticalCentered="1"/>
  <pageMargins left="0.35433070866141736" right="0.27559055118110237" top="1.2204724409448819" bottom="0.27559055118110237" header="0.27559055118110237" footer="0.15748031496062992"/>
  <pageSetup paperSize="9" scale="74" orientation="landscape" horizontalDpi="4294967293" verticalDpi="4294967293" r:id="rId1"/>
  <headerFooter alignWithMargins="0">
    <oddHeader>&amp;L&amp;G&amp;C&amp;"Arial,Bold"&amp;12  Ice Skating Australia Limited
Affiliated to the International Skating Union
Synchronized Skating
Form Document: &amp;F&amp;R&amp;"Arial,Bold"&amp;12&amp;A</oddHeader>
    <oddFooter>&amp;C&amp;D</oddFooter>
  </headerFooter>
  <legacyDrawingHF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14"/>
    <pageSetUpPr fitToPage="1"/>
  </sheetPr>
  <dimension ref="A1:J24"/>
  <sheetViews>
    <sheetView zoomScale="80" zoomScaleNormal="80" workbookViewId="0">
      <selection activeCell="L11" sqref="L11"/>
    </sheetView>
  </sheetViews>
  <sheetFormatPr defaultRowHeight="13.2" x14ac:dyDescent="0.25"/>
  <cols>
    <col min="1" max="1" width="15.6640625" style="4" customWidth="1"/>
    <col min="2" max="2" width="15.6640625" style="2" customWidth="1"/>
    <col min="3" max="5" width="15.6640625" style="4" customWidth="1"/>
    <col min="7" max="7" width="16.88671875" style="6" bestFit="1" customWidth="1"/>
    <col min="8" max="8" width="23.5546875" bestFit="1" customWidth="1"/>
    <col min="9" max="9" width="26.5546875" customWidth="1"/>
    <col min="10" max="10" width="21.6640625" bestFit="1" customWidth="1"/>
  </cols>
  <sheetData>
    <row r="1" spans="1:10" ht="24.75" customHeight="1" thickTop="1" thickBot="1" x14ac:dyDescent="0.35">
      <c r="A1" s="14"/>
      <c r="B1" s="15"/>
      <c r="C1" s="217" t="s">
        <v>72</v>
      </c>
      <c r="D1" s="218"/>
      <c r="E1" s="219"/>
      <c r="G1" s="54"/>
      <c r="H1" s="220" t="s">
        <v>54</v>
      </c>
      <c r="I1" s="220" t="s">
        <v>62</v>
      </c>
      <c r="J1" s="222" t="s">
        <v>38</v>
      </c>
    </row>
    <row r="2" spans="1:10" s="6" customFormat="1" ht="20.100000000000001" customHeight="1" thickTop="1" thickBot="1" x14ac:dyDescent="0.3">
      <c r="A2" s="214" t="s">
        <v>73</v>
      </c>
      <c r="B2" s="16"/>
      <c r="C2" s="17">
        <v>0.25</v>
      </c>
      <c r="D2" s="17">
        <v>0.5</v>
      </c>
      <c r="E2" s="18">
        <v>0.75</v>
      </c>
      <c r="G2" s="55"/>
      <c r="H2" s="221"/>
      <c r="I2" s="221"/>
      <c r="J2" s="223"/>
    </row>
    <row r="3" spans="1:10" s="6" customFormat="1" ht="20.100000000000001" customHeight="1" thickBot="1" x14ac:dyDescent="0.3">
      <c r="A3" s="215"/>
      <c r="B3" s="29">
        <v>8</v>
      </c>
      <c r="C3" s="30">
        <f>ROUND(B3*0.25,0)</f>
        <v>2</v>
      </c>
      <c r="D3" s="30">
        <f>ROUND(B3*0.5,0)</f>
        <v>4</v>
      </c>
      <c r="E3" s="31">
        <f>ROUND(B3*0.75,0)</f>
        <v>6</v>
      </c>
      <c r="G3" s="32" t="s">
        <v>30</v>
      </c>
      <c r="H3" s="33" t="s">
        <v>32</v>
      </c>
      <c r="I3" s="33" t="s">
        <v>34</v>
      </c>
      <c r="J3" s="180" t="s">
        <v>85</v>
      </c>
    </row>
    <row r="4" spans="1:10" ht="20.100000000000001" customHeight="1" x14ac:dyDescent="0.25">
      <c r="A4" s="215"/>
      <c r="B4" s="19">
        <v>9</v>
      </c>
      <c r="C4" s="20">
        <f t="shared" ref="C4:C11" si="0">ROUND(B4*0.25,0)</f>
        <v>2</v>
      </c>
      <c r="D4" s="20">
        <f t="shared" ref="D4:D11" si="1">ROUND(B4*0.5,0)</f>
        <v>5</v>
      </c>
      <c r="E4" s="21">
        <f t="shared" ref="E4:E11" si="2">ROUND(B4*0.75,0)</f>
        <v>7</v>
      </c>
      <c r="G4" s="91" t="s">
        <v>90</v>
      </c>
      <c r="H4" s="92" t="s">
        <v>32</v>
      </c>
      <c r="I4" s="92" t="s">
        <v>34</v>
      </c>
      <c r="J4" s="93" t="s">
        <v>85</v>
      </c>
    </row>
    <row r="5" spans="1:10" ht="20.100000000000001" customHeight="1" x14ac:dyDescent="0.25">
      <c r="A5" s="215"/>
      <c r="B5" s="19">
        <v>10</v>
      </c>
      <c r="C5" s="20">
        <f t="shared" si="0"/>
        <v>3</v>
      </c>
      <c r="D5" s="20">
        <f t="shared" si="1"/>
        <v>5</v>
      </c>
      <c r="E5" s="21">
        <f t="shared" si="2"/>
        <v>8</v>
      </c>
      <c r="G5" s="81" t="s">
        <v>31</v>
      </c>
      <c r="H5" s="82" t="s">
        <v>32</v>
      </c>
      <c r="I5" s="83" t="s">
        <v>32</v>
      </c>
      <c r="J5" s="86" t="s">
        <v>85</v>
      </c>
    </row>
    <row r="6" spans="1:10" ht="20.100000000000001" customHeight="1" x14ac:dyDescent="0.25">
      <c r="A6" s="215"/>
      <c r="B6" s="19">
        <v>11</v>
      </c>
      <c r="C6" s="20">
        <f t="shared" si="0"/>
        <v>3</v>
      </c>
      <c r="D6" s="20">
        <f t="shared" si="1"/>
        <v>6</v>
      </c>
      <c r="E6" s="21">
        <f t="shared" si="2"/>
        <v>8</v>
      </c>
      <c r="G6" s="205" t="s">
        <v>91</v>
      </c>
      <c r="H6" s="84" t="s">
        <v>32</v>
      </c>
      <c r="I6" s="85" t="s">
        <v>32</v>
      </c>
      <c r="J6" s="181" t="s">
        <v>85</v>
      </c>
    </row>
    <row r="7" spans="1:10" ht="20.100000000000001" customHeight="1" x14ac:dyDescent="0.25">
      <c r="A7" s="215"/>
      <c r="B7" s="19">
        <v>12</v>
      </c>
      <c r="C7" s="20">
        <f t="shared" si="0"/>
        <v>3</v>
      </c>
      <c r="D7" s="20">
        <f t="shared" si="1"/>
        <v>6</v>
      </c>
      <c r="E7" s="21">
        <f t="shared" si="2"/>
        <v>9</v>
      </c>
      <c r="G7" s="81" t="s">
        <v>35</v>
      </c>
      <c r="H7" s="82" t="s">
        <v>32</v>
      </c>
      <c r="I7" s="83" t="s">
        <v>32</v>
      </c>
      <c r="J7" s="86" t="s">
        <v>85</v>
      </c>
    </row>
    <row r="8" spans="1:10" ht="20.100000000000001" customHeight="1" x14ac:dyDescent="0.25">
      <c r="A8" s="215"/>
      <c r="B8" s="19">
        <v>13</v>
      </c>
      <c r="C8" s="20">
        <f t="shared" si="0"/>
        <v>3</v>
      </c>
      <c r="D8" s="20">
        <f t="shared" si="1"/>
        <v>7</v>
      </c>
      <c r="E8" s="21">
        <f t="shared" si="2"/>
        <v>10</v>
      </c>
      <c r="G8" s="87" t="s">
        <v>29</v>
      </c>
      <c r="H8" s="88" t="s">
        <v>32</v>
      </c>
      <c r="I8" s="89" t="s">
        <v>33</v>
      </c>
      <c r="J8" s="90" t="s">
        <v>85</v>
      </c>
    </row>
    <row r="9" spans="1:10" ht="20.100000000000001" customHeight="1" x14ac:dyDescent="0.25">
      <c r="A9" s="215"/>
      <c r="B9" s="19">
        <v>14</v>
      </c>
      <c r="C9" s="20">
        <f t="shared" si="0"/>
        <v>4</v>
      </c>
      <c r="D9" s="20">
        <f t="shared" si="1"/>
        <v>7</v>
      </c>
      <c r="E9" s="21">
        <f t="shared" si="2"/>
        <v>11</v>
      </c>
      <c r="G9" s="81" t="s">
        <v>55</v>
      </c>
      <c r="H9" s="83" t="s">
        <v>32</v>
      </c>
      <c r="I9" s="82" t="s">
        <v>33</v>
      </c>
      <c r="J9" s="86" t="s">
        <v>85</v>
      </c>
    </row>
    <row r="10" spans="1:10" ht="20.100000000000001" customHeight="1" x14ac:dyDescent="0.25">
      <c r="A10" s="215"/>
      <c r="B10" s="19">
        <v>15</v>
      </c>
      <c r="C10" s="20">
        <f t="shared" si="0"/>
        <v>4</v>
      </c>
      <c r="D10" s="20">
        <f t="shared" si="1"/>
        <v>8</v>
      </c>
      <c r="E10" s="21">
        <f t="shared" si="2"/>
        <v>11</v>
      </c>
      <c r="G10" s="94" t="s">
        <v>53</v>
      </c>
      <c r="H10" s="206" t="s">
        <v>32</v>
      </c>
      <c r="I10" s="185" t="s">
        <v>37</v>
      </c>
      <c r="J10" s="207"/>
    </row>
    <row r="11" spans="1:10" ht="20.100000000000001" customHeight="1" thickBot="1" x14ac:dyDescent="0.3">
      <c r="A11" s="216"/>
      <c r="B11" s="95">
        <v>16</v>
      </c>
      <c r="C11" s="96">
        <f t="shared" si="0"/>
        <v>4</v>
      </c>
      <c r="D11" s="96">
        <f t="shared" si="1"/>
        <v>8</v>
      </c>
      <c r="E11" s="97">
        <f t="shared" si="2"/>
        <v>12</v>
      </c>
      <c r="G11" s="81" t="s">
        <v>36</v>
      </c>
      <c r="H11" s="82" t="s">
        <v>32</v>
      </c>
      <c r="I11" s="208" t="s">
        <v>37</v>
      </c>
      <c r="J11" s="209"/>
    </row>
    <row r="12" spans="1:10" ht="20.100000000000001" customHeight="1" thickTop="1" thickBot="1" x14ac:dyDescent="0.3">
      <c r="A12" s="100"/>
      <c r="B12" s="98"/>
      <c r="C12" s="99"/>
      <c r="D12" s="99"/>
      <c r="E12" s="99"/>
      <c r="G12" s="210" t="s">
        <v>63</v>
      </c>
      <c r="H12" s="211" t="s">
        <v>32</v>
      </c>
      <c r="I12" s="212" t="s">
        <v>37</v>
      </c>
      <c r="J12" s="213"/>
    </row>
    <row r="13" spans="1:10" ht="30" customHeight="1" thickTop="1" x14ac:dyDescent="0.25">
      <c r="A13" s="231" t="s">
        <v>73</v>
      </c>
      <c r="B13" s="232"/>
      <c r="C13" s="172" t="s">
        <v>74</v>
      </c>
      <c r="D13" s="228" t="s">
        <v>76</v>
      </c>
      <c r="E13" s="229"/>
    </row>
    <row r="14" spans="1:10" ht="19.95" customHeight="1" x14ac:dyDescent="0.25">
      <c r="A14" s="233">
        <v>8</v>
      </c>
      <c r="B14" s="234"/>
      <c r="C14" s="173">
        <f t="shared" ref="C14:C22" si="3">ROUND(A14*0.25,0)</f>
        <v>2</v>
      </c>
      <c r="D14" s="230">
        <f t="shared" ref="D14:D22" si="4">ROUND(A14*0.5,0)</f>
        <v>4</v>
      </c>
      <c r="E14" s="225"/>
    </row>
    <row r="15" spans="1:10" ht="19.95" customHeight="1" x14ac:dyDescent="0.25">
      <c r="A15" s="233">
        <v>9</v>
      </c>
      <c r="B15" s="234"/>
      <c r="C15" s="174">
        <f t="shared" si="3"/>
        <v>2</v>
      </c>
      <c r="D15" s="224">
        <f t="shared" si="4"/>
        <v>5</v>
      </c>
      <c r="E15" s="225"/>
    </row>
    <row r="16" spans="1:10" ht="19.95" customHeight="1" x14ac:dyDescent="0.25">
      <c r="A16" s="233">
        <v>10</v>
      </c>
      <c r="B16" s="234"/>
      <c r="C16" s="174">
        <f t="shared" si="3"/>
        <v>3</v>
      </c>
      <c r="D16" s="224">
        <f t="shared" si="4"/>
        <v>5</v>
      </c>
      <c r="E16" s="225"/>
    </row>
    <row r="17" spans="1:6" ht="19.95" customHeight="1" x14ac:dyDescent="0.25">
      <c r="A17" s="233">
        <v>11</v>
      </c>
      <c r="B17" s="234"/>
      <c r="C17" s="174">
        <f t="shared" si="3"/>
        <v>3</v>
      </c>
      <c r="D17" s="224">
        <f t="shared" si="4"/>
        <v>6</v>
      </c>
      <c r="E17" s="225"/>
    </row>
    <row r="18" spans="1:6" ht="19.95" customHeight="1" x14ac:dyDescent="0.25">
      <c r="A18" s="233">
        <v>12</v>
      </c>
      <c r="B18" s="234"/>
      <c r="C18" s="174">
        <f t="shared" si="3"/>
        <v>3</v>
      </c>
      <c r="D18" s="224">
        <f t="shared" si="4"/>
        <v>6</v>
      </c>
      <c r="E18" s="225"/>
    </row>
    <row r="19" spans="1:6" ht="19.95" customHeight="1" x14ac:dyDescent="0.25">
      <c r="A19" s="233">
        <v>13</v>
      </c>
      <c r="B19" s="234"/>
      <c r="C19" s="174">
        <f t="shared" si="3"/>
        <v>3</v>
      </c>
      <c r="D19" s="224">
        <f t="shared" si="4"/>
        <v>7</v>
      </c>
      <c r="E19" s="225"/>
    </row>
    <row r="20" spans="1:6" ht="19.95" customHeight="1" x14ac:dyDescent="0.25">
      <c r="A20" s="233">
        <v>14</v>
      </c>
      <c r="B20" s="234"/>
      <c r="C20" s="174">
        <f t="shared" si="3"/>
        <v>4</v>
      </c>
      <c r="D20" s="224">
        <f t="shared" si="4"/>
        <v>7</v>
      </c>
      <c r="E20" s="225"/>
    </row>
    <row r="21" spans="1:6" ht="19.95" customHeight="1" x14ac:dyDescent="0.25">
      <c r="A21" s="233">
        <v>15</v>
      </c>
      <c r="B21" s="234"/>
      <c r="C21" s="174">
        <f t="shared" si="3"/>
        <v>4</v>
      </c>
      <c r="D21" s="224">
        <f t="shared" si="4"/>
        <v>8</v>
      </c>
      <c r="E21" s="225"/>
    </row>
    <row r="22" spans="1:6" ht="19.95" customHeight="1" thickBot="1" x14ac:dyDescent="0.3">
      <c r="A22" s="235">
        <v>16</v>
      </c>
      <c r="B22" s="236"/>
      <c r="C22" s="175">
        <f t="shared" si="3"/>
        <v>4</v>
      </c>
      <c r="D22" s="226">
        <f t="shared" si="4"/>
        <v>8</v>
      </c>
      <c r="E22" s="227"/>
    </row>
    <row r="23" spans="1:6" ht="13.8" thickTop="1" x14ac:dyDescent="0.25"/>
    <row r="24" spans="1:6" x14ac:dyDescent="0.25">
      <c r="A24" s="176" t="s">
        <v>75</v>
      </c>
      <c r="B24" s="177"/>
      <c r="C24" s="178"/>
      <c r="D24" s="178"/>
      <c r="E24" s="178"/>
      <c r="F24" s="179"/>
    </row>
  </sheetData>
  <sheetProtection algorithmName="SHA-512" hashValue="jtE9uULzVFYAK/NdAjnLc0BF+g5/Tl/KOViI65BAE6hui4XWYmChU9grQSBfdJ+/gcQTM4QJfo44EHwrmaSbsw==" saltValue="07nuloatcnpwIVdp2IA7Xw==" spinCount="100000" sheet="1" selectLockedCells="1" selectUnlockedCells="1"/>
  <mergeCells count="25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2:A11"/>
    <mergeCell ref="C1:E1"/>
    <mergeCell ref="H1:H2"/>
    <mergeCell ref="I1:I2"/>
    <mergeCell ref="J1:J2"/>
  </mergeCells>
  <phoneticPr fontId="0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4" orientation="landscape" horizontalDpi="4294967293" verticalDpi="4294967293" r:id="rId1"/>
  <headerFooter alignWithMargins="0">
    <oddHeader>&amp;C&amp;"Arial,Bold"&amp;18Synchronized Skating Team Percentages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0066"/>
    <pageSetUpPr fitToPage="1"/>
  </sheetPr>
  <dimension ref="A1:O29"/>
  <sheetViews>
    <sheetView zoomScale="85" zoomScaleNormal="85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B3" sqref="B3"/>
    </sheetView>
  </sheetViews>
  <sheetFormatPr defaultRowHeight="13.2" x14ac:dyDescent="0.25"/>
  <cols>
    <col min="1" max="1" width="5.6640625" style="4" customWidth="1"/>
    <col min="2" max="2" width="18.6640625" style="4" customWidth="1"/>
    <col min="3" max="3" width="18.6640625" customWidth="1"/>
    <col min="4" max="8" width="11.6640625" customWidth="1"/>
    <col min="9" max="9" width="18.6640625" customWidth="1"/>
    <col min="10" max="10" width="24.6640625" customWidth="1"/>
    <col min="11" max="11" width="10.33203125" style="24" hidden="1" customWidth="1"/>
    <col min="12" max="12" width="11.6640625" style="24" customWidth="1"/>
    <col min="13" max="13" width="18.6640625" customWidth="1"/>
    <col min="14" max="14" width="30.33203125" hidden="1" customWidth="1"/>
    <col min="15" max="15" width="8.88671875" hidden="1" customWidth="1"/>
    <col min="16" max="16" width="9.109375" customWidth="1"/>
  </cols>
  <sheetData>
    <row r="1" spans="1:15" s="2" customFormat="1" ht="14.4" thickTop="1" thickBot="1" x14ac:dyDescent="0.3">
      <c r="A1" s="60" t="s">
        <v>6</v>
      </c>
      <c r="B1" s="237"/>
      <c r="C1" s="238"/>
      <c r="D1" s="238"/>
      <c r="E1" s="238"/>
      <c r="F1" s="238"/>
      <c r="G1" s="238"/>
      <c r="H1" s="238"/>
      <c r="I1" s="238"/>
      <c r="J1" s="112" t="s">
        <v>88</v>
      </c>
      <c r="K1" s="62"/>
      <c r="L1" s="61" t="s">
        <v>57</v>
      </c>
      <c r="M1" s="113"/>
      <c r="N1" s="69">
        <v>46203</v>
      </c>
    </row>
    <row r="2" spans="1:15" s="47" customFormat="1" ht="51" customHeight="1" x14ac:dyDescent="0.2">
      <c r="A2" s="57"/>
      <c r="B2" s="58" t="s">
        <v>70</v>
      </c>
      <c r="C2" s="58" t="s">
        <v>49</v>
      </c>
      <c r="D2" s="58" t="s">
        <v>12</v>
      </c>
      <c r="E2" s="58" t="s">
        <v>13</v>
      </c>
      <c r="F2" s="58" t="s">
        <v>11</v>
      </c>
      <c r="G2" s="58" t="s">
        <v>46</v>
      </c>
      <c r="H2" s="58" t="s">
        <v>66</v>
      </c>
      <c r="I2" s="59" t="s">
        <v>17</v>
      </c>
      <c r="J2" s="58" t="s">
        <v>45</v>
      </c>
      <c r="K2" s="58" t="s">
        <v>39</v>
      </c>
      <c r="L2" s="64" t="s">
        <v>47</v>
      </c>
      <c r="M2" s="107" t="s">
        <v>48</v>
      </c>
      <c r="N2" s="68"/>
    </row>
    <row r="3" spans="1:15" s="4" customFormat="1" x14ac:dyDescent="0.25">
      <c r="A3" s="3">
        <v>1</v>
      </c>
      <c r="B3" s="122"/>
      <c r="C3" s="122"/>
      <c r="D3" s="123"/>
      <c r="E3" s="124"/>
      <c r="F3" s="124"/>
      <c r="G3" s="125" t="str">
        <f>IF(ISBLANK(D3),"",TRUNC(YEARFRAC(N1,D3)))</f>
        <v/>
      </c>
      <c r="H3" s="126"/>
      <c r="I3" s="51"/>
      <c r="J3" s="122"/>
      <c r="K3" s="124" t="e">
        <f>VLOOKUP(J3,N7:O14,2,FALSE)</f>
        <v>#N/A</v>
      </c>
      <c r="L3" s="124"/>
      <c r="M3" s="127"/>
      <c r="N3" s="4" t="s">
        <v>7</v>
      </c>
    </row>
    <row r="4" spans="1:15" x14ac:dyDescent="0.25">
      <c r="A4" s="3">
        <v>2</v>
      </c>
      <c r="B4" s="122"/>
      <c r="C4" s="122"/>
      <c r="D4" s="123"/>
      <c r="E4" s="124"/>
      <c r="F4" s="124"/>
      <c r="G4" s="125" t="str">
        <f>IF(ISBLANK(D4),"",TRUNC(YEARFRAC(N1,D4)))</f>
        <v/>
      </c>
      <c r="H4" s="126"/>
      <c r="I4" s="51"/>
      <c r="J4" s="122"/>
      <c r="K4" s="124" t="e">
        <f>VLOOKUP(J4,N7:O14,2,FALSE)</f>
        <v>#N/A</v>
      </c>
      <c r="L4" s="124"/>
      <c r="M4" s="127"/>
      <c r="N4" s="101" t="s">
        <v>64</v>
      </c>
    </row>
    <row r="5" spans="1:15" x14ac:dyDescent="0.25">
      <c r="A5" s="3">
        <v>3</v>
      </c>
      <c r="B5" s="122"/>
      <c r="C5" s="122"/>
      <c r="D5" s="123"/>
      <c r="E5" s="124"/>
      <c r="F5" s="124"/>
      <c r="G5" s="125" t="str">
        <f>IF(ISBLANK(D5),"",TRUNC(YEARFRAC(N1,D5)))</f>
        <v/>
      </c>
      <c r="H5" s="126"/>
      <c r="I5" s="51"/>
      <c r="J5" s="122"/>
      <c r="K5" s="124" t="e">
        <f>VLOOKUP(J5,N7:O14,2,FALSE)</f>
        <v>#N/A</v>
      </c>
      <c r="L5" s="124"/>
      <c r="M5" s="127"/>
      <c r="N5" s="101" t="s">
        <v>65</v>
      </c>
    </row>
    <row r="6" spans="1:15" x14ac:dyDescent="0.25">
      <c r="A6" s="3">
        <v>4</v>
      </c>
      <c r="B6" s="122"/>
      <c r="C6" s="122"/>
      <c r="D6" s="123"/>
      <c r="E6" s="124"/>
      <c r="F6" s="124"/>
      <c r="G6" s="125" t="str">
        <f>IF(ISBLANK(D6),"",TRUNC(YEARFRAC(N1,D6)))</f>
        <v/>
      </c>
      <c r="H6" s="126"/>
      <c r="I6" s="51"/>
      <c r="J6" s="122"/>
      <c r="K6" s="124" t="e">
        <f>VLOOKUP(J6,N7:O14,2,FALSE)</f>
        <v>#N/A</v>
      </c>
      <c r="L6" s="124"/>
      <c r="M6" s="127"/>
      <c r="N6" s="6" t="s">
        <v>19</v>
      </c>
      <c r="O6" s="23" t="s">
        <v>20</v>
      </c>
    </row>
    <row r="7" spans="1:15" x14ac:dyDescent="0.25">
      <c r="A7" s="3">
        <v>5</v>
      </c>
      <c r="B7" s="122"/>
      <c r="C7" s="122"/>
      <c r="D7" s="123"/>
      <c r="E7" s="124"/>
      <c r="F7" s="124"/>
      <c r="G7" s="125" t="str">
        <f>IF(ISBLANK(D7),"",TRUNC(YEARFRAC(N1,D7)))</f>
        <v/>
      </c>
      <c r="H7" s="126"/>
      <c r="I7" s="51"/>
      <c r="J7" s="122"/>
      <c r="K7" s="124" t="e">
        <f>VLOOKUP(J7,N7:O14,2,FALSE)</f>
        <v>#N/A</v>
      </c>
      <c r="L7" s="124"/>
      <c r="M7" s="127"/>
      <c r="N7" t="s">
        <v>16</v>
      </c>
      <c r="O7" s="27">
        <v>0</v>
      </c>
    </row>
    <row r="8" spans="1:15" x14ac:dyDescent="0.25">
      <c r="A8" s="3">
        <v>6</v>
      </c>
      <c r="B8" s="122"/>
      <c r="C8" s="122"/>
      <c r="D8" s="123"/>
      <c r="E8" s="124"/>
      <c r="F8" s="124"/>
      <c r="G8" s="125" t="str">
        <f>IF(ISBLANK(D8),"",TRUNC(YEARFRAC(N1,D8)))</f>
        <v/>
      </c>
      <c r="H8" s="126"/>
      <c r="I8" s="51"/>
      <c r="J8" s="122"/>
      <c r="K8" s="124" t="e">
        <f>VLOOKUP(J8,N7:O14,2,FALSE)</f>
        <v>#N/A</v>
      </c>
      <c r="L8" s="124"/>
      <c r="M8" s="127"/>
      <c r="N8" s="35" t="s">
        <v>78</v>
      </c>
      <c r="O8" s="27">
        <v>1</v>
      </c>
    </row>
    <row r="9" spans="1:15" x14ac:dyDescent="0.25">
      <c r="A9" s="3">
        <v>7</v>
      </c>
      <c r="B9" s="122"/>
      <c r="C9" s="122"/>
      <c r="D9" s="123"/>
      <c r="E9" s="124"/>
      <c r="F9" s="124"/>
      <c r="G9" s="125" t="str">
        <f>IF(ISBLANK(D9),"",TRUNC(YEARFRAC(N1,D9)))</f>
        <v/>
      </c>
      <c r="H9" s="126"/>
      <c r="I9" s="51"/>
      <c r="J9" s="122"/>
      <c r="K9" s="124" t="e">
        <f>VLOOKUP(J9,N7:O14,2,FALSE)</f>
        <v>#N/A</v>
      </c>
      <c r="L9" s="124"/>
      <c r="M9" s="127"/>
      <c r="N9" t="s">
        <v>79</v>
      </c>
      <c r="O9" s="27">
        <v>2</v>
      </c>
    </row>
    <row r="10" spans="1:15" x14ac:dyDescent="0.25">
      <c r="A10" s="3">
        <v>8</v>
      </c>
      <c r="B10" s="122"/>
      <c r="C10" s="122"/>
      <c r="D10" s="123"/>
      <c r="E10" s="124"/>
      <c r="F10" s="124"/>
      <c r="G10" s="125" t="str">
        <f>IF(ISBLANK(D10),"",TRUNC(YEARFRAC(N1,D10)))</f>
        <v/>
      </c>
      <c r="H10" s="126"/>
      <c r="I10" s="51"/>
      <c r="J10" s="122"/>
      <c r="K10" s="124" t="e">
        <f>VLOOKUP(J10,N7:O14,2,FALSE)</f>
        <v>#N/A</v>
      </c>
      <c r="L10" s="124"/>
      <c r="M10" s="127"/>
      <c r="N10" s="35" t="s">
        <v>80</v>
      </c>
      <c r="O10" s="27">
        <v>3</v>
      </c>
    </row>
    <row r="11" spans="1:15" x14ac:dyDescent="0.25">
      <c r="A11" s="3">
        <v>9</v>
      </c>
      <c r="B11" s="122"/>
      <c r="C11" s="122"/>
      <c r="D11" s="123"/>
      <c r="E11" s="124"/>
      <c r="F11" s="124"/>
      <c r="G11" s="125" t="str">
        <f>IF(ISBLANK(D11),"",TRUNC(YEARFRAC(N1,D11)))</f>
        <v/>
      </c>
      <c r="H11" s="126"/>
      <c r="I11" s="51"/>
      <c r="J11" s="122"/>
      <c r="K11" s="124" t="e">
        <f>VLOOKUP(J11,N7:O14,2,FALSE)</f>
        <v>#N/A</v>
      </c>
      <c r="L11" s="124"/>
      <c r="M11" s="127"/>
      <c r="N11" s="35" t="s">
        <v>81</v>
      </c>
      <c r="O11" s="27">
        <v>4</v>
      </c>
    </row>
    <row r="12" spans="1:15" x14ac:dyDescent="0.25">
      <c r="A12" s="3">
        <v>10</v>
      </c>
      <c r="B12" s="122"/>
      <c r="C12" s="122"/>
      <c r="D12" s="123"/>
      <c r="E12" s="124"/>
      <c r="F12" s="124"/>
      <c r="G12" s="125" t="str">
        <f>IF(ISBLANK(D12),"",TRUNC(YEARFRAC(N1,D12)))</f>
        <v/>
      </c>
      <c r="H12" s="126"/>
      <c r="I12" s="51"/>
      <c r="J12" s="122"/>
      <c r="K12" s="124" t="e">
        <f>VLOOKUP(J12,N7:O14,2,FALSE)</f>
        <v>#N/A</v>
      </c>
      <c r="L12" s="124"/>
      <c r="M12" s="127"/>
      <c r="N12" s="35" t="s">
        <v>82</v>
      </c>
      <c r="O12" s="27">
        <v>5</v>
      </c>
    </row>
    <row r="13" spans="1:15" x14ac:dyDescent="0.25">
      <c r="A13" s="3">
        <v>11</v>
      </c>
      <c r="B13" s="122"/>
      <c r="C13" s="122"/>
      <c r="D13" s="123"/>
      <c r="E13" s="124"/>
      <c r="F13" s="124"/>
      <c r="G13" s="125" t="str">
        <f>IF(ISBLANK(D13),"",TRUNC(YEARFRAC(N1,D13)))</f>
        <v/>
      </c>
      <c r="H13" s="126"/>
      <c r="I13" s="51"/>
      <c r="J13" s="122"/>
      <c r="K13" s="124" t="e">
        <f>VLOOKUP(J13,N7:O14,2,FALSE)</f>
        <v>#N/A</v>
      </c>
      <c r="L13" s="124"/>
      <c r="M13" s="127"/>
      <c r="N13" s="35" t="s">
        <v>83</v>
      </c>
      <c r="O13" s="27">
        <v>6</v>
      </c>
    </row>
    <row r="14" spans="1:15" x14ac:dyDescent="0.25">
      <c r="A14" s="3">
        <v>12</v>
      </c>
      <c r="B14" s="122"/>
      <c r="C14" s="122"/>
      <c r="D14" s="123"/>
      <c r="E14" s="124"/>
      <c r="F14" s="124"/>
      <c r="G14" s="125" t="str">
        <f>IF(ISBLANK(D14),"",TRUNC(YEARFRAC(N1,D14)))</f>
        <v/>
      </c>
      <c r="H14" s="126"/>
      <c r="I14" s="51"/>
      <c r="J14" s="122"/>
      <c r="K14" s="124" t="e">
        <f>VLOOKUP(J14,N7:O14,2,FALSE)</f>
        <v>#N/A</v>
      </c>
      <c r="L14" s="124"/>
      <c r="M14" s="127"/>
      <c r="N14" s="35" t="s">
        <v>84</v>
      </c>
      <c r="O14" s="27">
        <v>7</v>
      </c>
    </row>
    <row r="15" spans="1:15" x14ac:dyDescent="0.25">
      <c r="A15" s="3">
        <v>13</v>
      </c>
      <c r="B15" s="128"/>
      <c r="C15" s="128"/>
      <c r="D15" s="129"/>
      <c r="E15" s="130"/>
      <c r="F15" s="130"/>
      <c r="G15" s="125" t="str">
        <f>IF(ISBLANK(D15),"",TRUNC(YEARFRAC(N1,D15)))</f>
        <v/>
      </c>
      <c r="H15" s="131"/>
      <c r="I15" s="52"/>
      <c r="J15" s="128"/>
      <c r="K15" s="130" t="e">
        <f>VLOOKUP(J15,N7:O14,2,FALSE)</f>
        <v>#N/A</v>
      </c>
      <c r="L15" s="130"/>
      <c r="M15" s="132"/>
    </row>
    <row r="16" spans="1:15" x14ac:dyDescent="0.25">
      <c r="A16" s="3">
        <v>14</v>
      </c>
      <c r="B16" s="128"/>
      <c r="C16" s="128"/>
      <c r="D16" s="129"/>
      <c r="E16" s="130"/>
      <c r="F16" s="130"/>
      <c r="G16" s="125" t="str">
        <f>IF(ISBLANK(D16),"",TRUNC(YEARFRAC(N1,D16)))</f>
        <v/>
      </c>
      <c r="H16" s="131"/>
      <c r="I16" s="52"/>
      <c r="J16" s="128"/>
      <c r="K16" s="130" t="e">
        <f>VLOOKUP(J16,N7:O14,2,FALSE)</f>
        <v>#N/A</v>
      </c>
      <c r="L16" s="130"/>
      <c r="M16" s="133"/>
      <c r="N16" t="s">
        <v>21</v>
      </c>
      <c r="O16" t="s">
        <v>28</v>
      </c>
    </row>
    <row r="17" spans="1:15" x14ac:dyDescent="0.25">
      <c r="A17" s="3">
        <v>15</v>
      </c>
      <c r="B17" s="128"/>
      <c r="C17" s="128"/>
      <c r="D17" s="129"/>
      <c r="E17" s="130"/>
      <c r="F17" s="130"/>
      <c r="G17" s="125" t="str">
        <f>IF(ISBLANK(D17),"",TRUNC(YEARFRAC(N1,D17)))</f>
        <v/>
      </c>
      <c r="H17" s="131"/>
      <c r="I17" s="52"/>
      <c r="J17" s="128"/>
      <c r="K17" s="130" t="e">
        <f>VLOOKUP(J17,N7:O14,2,FALSE)</f>
        <v>#N/A</v>
      </c>
      <c r="L17" s="130"/>
      <c r="M17" s="133"/>
      <c r="N17" t="s">
        <v>18</v>
      </c>
      <c r="O17" s="35" t="s">
        <v>58</v>
      </c>
    </row>
    <row r="18" spans="1:15" x14ac:dyDescent="0.25">
      <c r="A18" s="3">
        <v>16</v>
      </c>
      <c r="B18" s="128"/>
      <c r="C18" s="128"/>
      <c r="D18" s="129"/>
      <c r="E18" s="130"/>
      <c r="F18" s="130"/>
      <c r="G18" s="125" t="str">
        <f>IF(ISBLANK(D18),"",TRUNC(YEARFRAC(N1,D18)))</f>
        <v/>
      </c>
      <c r="H18" s="131"/>
      <c r="I18" s="52"/>
      <c r="J18" s="128"/>
      <c r="K18" s="130" t="e">
        <f>VLOOKUP(J18,N7:O14,2,FALSE)</f>
        <v>#N/A</v>
      </c>
      <c r="L18" s="130"/>
      <c r="M18" s="133"/>
      <c r="N18" s="35" t="s">
        <v>44</v>
      </c>
      <c r="O18" s="28" t="s">
        <v>40</v>
      </c>
    </row>
    <row r="19" spans="1:15" x14ac:dyDescent="0.25">
      <c r="A19" s="3">
        <v>17</v>
      </c>
      <c r="B19" s="128"/>
      <c r="C19" s="128"/>
      <c r="D19" s="129"/>
      <c r="E19" s="130"/>
      <c r="F19" s="130"/>
      <c r="G19" s="125" t="str">
        <f>IF(ISBLANK(D19),"",TRUNC(YEARFRAC(N1,D19)))</f>
        <v/>
      </c>
      <c r="H19" s="131"/>
      <c r="I19" s="52"/>
      <c r="J19" s="128"/>
      <c r="K19" s="130" t="e">
        <f>VLOOKUP(J19,N7:O14,2,FALSE)</f>
        <v>#N/A</v>
      </c>
      <c r="L19" s="130"/>
      <c r="M19" s="133"/>
      <c r="N19" s="35"/>
      <c r="O19" t="s">
        <v>23</v>
      </c>
    </row>
    <row r="20" spans="1:15" x14ac:dyDescent="0.25">
      <c r="A20" s="3">
        <v>18</v>
      </c>
      <c r="B20" s="128"/>
      <c r="C20" s="128"/>
      <c r="D20" s="129"/>
      <c r="E20" s="130"/>
      <c r="F20" s="130"/>
      <c r="G20" s="125" t="str">
        <f>IF(ISBLANK(D20),"",TRUNC(YEARFRAC(N1,D20)))</f>
        <v/>
      </c>
      <c r="H20" s="131"/>
      <c r="I20" s="52"/>
      <c r="J20" s="128"/>
      <c r="K20" s="130" t="e">
        <f>VLOOKUP(J20,N7:O14,2,FALSE)</f>
        <v>#N/A</v>
      </c>
      <c r="L20" s="130"/>
      <c r="M20" s="133"/>
      <c r="O20" t="s">
        <v>24</v>
      </c>
    </row>
    <row r="21" spans="1:15" x14ac:dyDescent="0.25">
      <c r="A21" s="3">
        <v>19</v>
      </c>
      <c r="B21" s="128"/>
      <c r="C21" s="128"/>
      <c r="D21" s="129"/>
      <c r="E21" s="130"/>
      <c r="F21" s="130"/>
      <c r="G21" s="125" t="str">
        <f>IF(ISBLANK(D21),"",TRUNC(YEARFRAC(N1,D21)))</f>
        <v/>
      </c>
      <c r="H21" s="131"/>
      <c r="I21" s="52"/>
      <c r="J21" s="128"/>
      <c r="K21" s="130" t="e">
        <f>VLOOKUP(J21,N7:O14,2,FALSE)</f>
        <v>#N/A</v>
      </c>
      <c r="L21" s="130"/>
      <c r="M21" s="133"/>
      <c r="O21" t="s">
        <v>25</v>
      </c>
    </row>
    <row r="22" spans="1:15" x14ac:dyDescent="0.25">
      <c r="A22" s="3">
        <v>20</v>
      </c>
      <c r="B22" s="128"/>
      <c r="C22" s="128"/>
      <c r="D22" s="129"/>
      <c r="E22" s="130"/>
      <c r="F22" s="130"/>
      <c r="G22" s="125" t="str">
        <f>IF(ISBLANK(D22),"",TRUNC(YEARFRAC(N1,D22)))</f>
        <v/>
      </c>
      <c r="H22" s="131"/>
      <c r="I22" s="52"/>
      <c r="J22" s="128"/>
      <c r="K22" s="130" t="e">
        <f>VLOOKUP(J22,N7:O14,2,FALSE)</f>
        <v>#N/A</v>
      </c>
      <c r="L22" s="130"/>
      <c r="M22" s="133"/>
      <c r="N22" s="45"/>
      <c r="O22" t="s">
        <v>26</v>
      </c>
    </row>
    <row r="23" spans="1:15" s="46" customFormat="1" ht="109.95" customHeight="1" thickBot="1" x14ac:dyDescent="0.3">
      <c r="A23" s="43"/>
      <c r="B23" s="72">
        <f>COUNTA(B3:B22)</f>
        <v>0</v>
      </c>
      <c r="C23" s="72" t="str">
        <f>IF((COUNTA(B3:B22)&lt;12),"Below Minimum Number (ISA By-Law 1031)",IF((COUNTA(B3:B22)&gt;15),"Team number eligible for International Competition (ISU Rule 800.2a)","Minimum Team Number Met for AFSC/Elite 12 Only(ISA By-Law 1050)"))</f>
        <v>Below Minimum Number (ISA By-Law 1031)</v>
      </c>
      <c r="D23" s="73" t="str">
        <f>IF(COUNTA(B3:B22)&lt;&gt;COUNTA(D3:D22),"Must enter all DOB","All DOB Entered")</f>
        <v>All DOB Entered</v>
      </c>
      <c r="E23" s="74" t="str">
        <f>IF(COUNTA(B3:B22)&gt;COUNTA(E3:E22),"All team members must belong to the same Member(ISA By-Law 1004)","All Member Numbers Entered")</f>
        <v>All Member Numbers Entered</v>
      </c>
      <c r="F23" s="74" t="str">
        <f>IF(COUNTA(B3:B22)&gt;COUNTA(F3:F22),"Must enter all POA","All POA Entered")</f>
        <v>All POA Entered</v>
      </c>
      <c r="G23" s="72" t="str">
        <f>IF(COUNTIF((G3:G22),"&lt;17")&gt;0,"Some team members too young for Senior International Competition (CER Article 9.4))","Ages correct for Senior International Competition (CER Article 9.4)")</f>
        <v>Ages correct for Senior International Competition (CER Article 9.4)</v>
      </c>
      <c r="H23" s="72" t="str">
        <f>IF(COUNTIF(H3:H22,"Perm Res")+COUNTIF(H3:H22,"Temp Visa")&gt;((B23-(B23-16))*0.5),"Citizenship incorrect. Excluding alternates, at least 50% must be Australian Citizens (ISA By-Law 1011.3)", IF(COUNTIF(H3:H22,"Temp Visa")&gt;(COUNTA(B3:B22)*0.25),"Citizenship incorrect. Excluding alternates, maximum 25% may not have permanent residency (ISA By-Law 1011.3)", IF(COUNTIF(H3:H22,"Perm Res")+COUNTIF(H3:H22,"Temp Visa")&gt;(COUNTA(B3:B22)*0.25),"Due to citizenship %, Team eligible for AFSC only","Citizenship percentage correct for international competition (CER Article 8.2.4)")))</f>
        <v>Citizenship percentage correct for international competition (CER Article 8.2.4)</v>
      </c>
      <c r="I23" s="75" t="s">
        <v>89</v>
      </c>
      <c r="J23" s="72" t="str">
        <f>IF((COUNTIF((K3:K22),"&lt;3")),"Team ineligible. All members must have passed minimum Basic Novice Pattern or Pre-Primary Dance (ISA By-Law 1031)","Test levels correct. Team eligible")</f>
        <v>Test levels correct. Team eligible</v>
      </c>
      <c r="K23" s="72"/>
      <c r="L23" s="75" t="str">
        <f>IF((COUNTIF(L3:L22,"Yes")&gt;0),"Check percentages are correct for all teams","")</f>
        <v/>
      </c>
      <c r="M23" s="114" t="str">
        <f>IF(COUNTA(L3:L22)&gt;COUNTA(M3:M22),"Must give name and division of other team(s).","")</f>
        <v/>
      </c>
      <c r="N23" s="1"/>
      <c r="O23" s="34" t="s">
        <v>27</v>
      </c>
    </row>
    <row r="24" spans="1:15" ht="13.8" thickTop="1" x14ac:dyDescent="0.25"/>
    <row r="25" spans="1:15" x14ac:dyDescent="0.25">
      <c r="A25" s="5" t="s">
        <v>14</v>
      </c>
    </row>
    <row r="26" spans="1:15" ht="15" customHeight="1" x14ac:dyDescent="0.25">
      <c r="A26" s="5" t="s">
        <v>42</v>
      </c>
      <c r="D26" s="12"/>
      <c r="E26" s="12"/>
      <c r="F26" s="12"/>
      <c r="G26" s="38"/>
      <c r="H26" s="2" t="s">
        <v>8</v>
      </c>
      <c r="I26" s="40"/>
      <c r="J26" s="12"/>
      <c r="K26" s="25"/>
      <c r="L26" s="25"/>
      <c r="M26" s="12"/>
    </row>
    <row r="27" spans="1:15" s="6" customFormat="1" ht="15" customHeight="1" x14ac:dyDescent="0.25">
      <c r="A27" s="6" t="s">
        <v>43</v>
      </c>
      <c r="D27" s="13"/>
      <c r="E27" s="13"/>
      <c r="F27" s="13"/>
      <c r="G27" s="39"/>
      <c r="H27" s="2" t="s">
        <v>8</v>
      </c>
      <c r="I27" s="41"/>
      <c r="J27" s="13"/>
      <c r="K27" s="26"/>
      <c r="L27" s="26"/>
      <c r="M27" s="13"/>
      <c r="O27"/>
    </row>
    <row r="28" spans="1:15" ht="15" customHeight="1" x14ac:dyDescent="0.25">
      <c r="A28"/>
      <c r="B28"/>
      <c r="O28" s="6"/>
    </row>
    <row r="29" spans="1:15" ht="15" customHeight="1" x14ac:dyDescent="0.25">
      <c r="A29"/>
      <c r="B29"/>
    </row>
  </sheetData>
  <sheetProtection algorithmName="SHA-512" hashValue="VMcPoUCR00epm3AkRBh9FLuA4MNuV0bKHQo4v5hNqD44PevWY0qKp0PZfUEJ7RZv5G/2jah7hd3F16DZ1froHw==" saltValue="xKtpI9GwjZZBuiUWI8n16Q==" spinCount="100000" sheet="1" selectLockedCells="1" sort="0"/>
  <mergeCells count="1">
    <mergeCell ref="B1:I1"/>
  </mergeCells>
  <phoneticPr fontId="0" type="noConversion"/>
  <conditionalFormatting sqref="B23">
    <cfRule type="cellIs" dxfId="404" priority="29" stopIfTrue="1" operator="lessThan">
      <formula>12</formula>
    </cfRule>
    <cfRule type="cellIs" dxfId="403" priority="30" stopIfTrue="1" operator="greaterThanOrEqual">
      <formula>12</formula>
    </cfRule>
  </conditionalFormatting>
  <conditionalFormatting sqref="C23">
    <cfRule type="cellIs" dxfId="402" priority="31" stopIfTrue="1" operator="greaterThanOrEqual">
      <formula>"Minimum Team Number Met"</formula>
    </cfRule>
    <cfRule type="cellIs" dxfId="401" priority="10" operator="equal">
      <formula>"Minimum Team Number Met for AFSC/Elite 12 Only(ISA By-Law 1050)"</formula>
    </cfRule>
    <cfRule type="cellIs" dxfId="400" priority="32" stopIfTrue="1" operator="notEqual">
      <formula>"Minimum Team Number Met"</formula>
    </cfRule>
  </conditionalFormatting>
  <conditionalFormatting sqref="D23">
    <cfRule type="cellIs" dxfId="399" priority="36" stopIfTrue="1" operator="equal">
      <formula>"All DOB Entered"</formula>
    </cfRule>
    <cfRule type="cellIs" dxfId="398" priority="35" stopIfTrue="1" operator="equal">
      <formula>"Must enter all DOB"</formula>
    </cfRule>
  </conditionalFormatting>
  <conditionalFormatting sqref="E23">
    <cfRule type="cellIs" dxfId="397" priority="38" stopIfTrue="1" operator="equal">
      <formula>"All Member Numbers Entered"</formula>
    </cfRule>
    <cfRule type="cellIs" dxfId="396" priority="37" stopIfTrue="1" operator="equal">
      <formula>"All team members must belong to the same Member(ISA By-Law 1052)"</formula>
    </cfRule>
  </conditionalFormatting>
  <conditionalFormatting sqref="F23">
    <cfRule type="cellIs" dxfId="395" priority="40" stopIfTrue="1" operator="equal">
      <formula>"All POA Entered"</formula>
    </cfRule>
    <cfRule type="cellIs" dxfId="394" priority="39" stopIfTrue="1" operator="equal">
      <formula>"Must enter all POA"</formula>
    </cfRule>
  </conditionalFormatting>
  <conditionalFormatting sqref="G23 I23">
    <cfRule type="cellIs" dxfId="393" priority="49" stopIfTrue="1" operator="equal">
      <formula>"Ages Correct for Senior International Competition (CER Article 9.4)"</formula>
    </cfRule>
  </conditionalFormatting>
  <conditionalFormatting sqref="G3:I22">
    <cfRule type="cellIs" dxfId="392" priority="42" stopIfTrue="1" operator="greaterThanOrEqual">
      <formula>17</formula>
    </cfRule>
    <cfRule type="cellIs" dxfId="391" priority="41" stopIfTrue="1" operator="lessThan">
      <formula>17</formula>
    </cfRule>
  </conditionalFormatting>
  <conditionalFormatting sqref="H3:H22">
    <cfRule type="cellIs" dxfId="390" priority="24" stopIfTrue="1" operator="equal">
      <formula>"Perm Res"</formula>
    </cfRule>
    <cfRule type="cellIs" dxfId="389" priority="25" stopIfTrue="1" operator="equal">
      <formula>"yes"</formula>
    </cfRule>
    <cfRule type="cellIs" dxfId="388" priority="1" operator="equal">
      <formula>"Temp Visa"</formula>
    </cfRule>
  </conditionalFormatting>
  <conditionalFormatting sqref="H23">
    <cfRule type="cellIs" dxfId="387" priority="5" stopIfTrue="1" operator="equal">
      <formula>"Citizenship percentage correct for international competition (CER Article 8.2.4)"</formula>
    </cfRule>
    <cfRule type="cellIs" dxfId="386" priority="4" stopIfTrue="1" operator="equal">
      <formula>"Due to citizenship %, Team eligible for AFSC only"</formula>
    </cfRule>
    <cfRule type="cellIs" dxfId="385" priority="3" stopIfTrue="1" operator="equal">
      <formula>"Citizenship incorrect. Excluding alternates, maximum 25% may not have permanent residency (ISA By-Law 1011.3)"</formula>
    </cfRule>
    <cfRule type="cellIs" dxfId="384" priority="2" stopIfTrue="1" operator="equal">
      <formula>"Citizenship incorrect. Excluding alternates, at least 50% must be Australian Citizens (ISA By-Law 1011.3)"</formula>
    </cfRule>
  </conditionalFormatting>
  <conditionalFormatting sqref="I3:I22">
    <cfRule type="cellIs" dxfId="383" priority="9" operator="equal">
      <formula>"Application made"</formula>
    </cfRule>
    <cfRule type="cellIs" dxfId="382" priority="8" operator="equal">
      <formula>"No application made"</formula>
    </cfRule>
    <cfRule type="cellIs" dxfId="381" priority="7" operator="equal">
      <formula>"Clearance received"</formula>
    </cfRule>
    <cfRule type="cellIs" dxfId="380" priority="6" operator="equal">
      <formula>"Not required"</formula>
    </cfRule>
    <cfRule type="cellIs" dxfId="379" priority="115" stopIfTrue="1" operator="equal">
      <formula>$N$18</formula>
    </cfRule>
    <cfRule type="cellIs" dxfId="378" priority="116" stopIfTrue="1" operator="equal">
      <formula>$N$17</formula>
    </cfRule>
    <cfRule type="cellIs" dxfId="377" priority="117" stopIfTrue="1" operator="equal">
      <formula>$N$16</formula>
    </cfRule>
  </conditionalFormatting>
  <conditionalFormatting sqref="I23 G23">
    <cfRule type="cellIs" dxfId="376" priority="48" stopIfTrue="1" operator="equal">
      <formula>"Some team members too young for Senior International Competition (CER Article 9.4))"</formula>
    </cfRule>
  </conditionalFormatting>
  <conditionalFormatting sqref="I23">
    <cfRule type="cellIs" dxfId="375" priority="28" stopIfTrue="1" operator="equal">
      <formula>"ISU Member or ISA Permission Required"</formula>
    </cfRule>
  </conditionalFormatting>
  <conditionalFormatting sqref="J23">
    <cfRule type="cellIs" dxfId="374" priority="43" stopIfTrue="1" operator="equal">
      <formula>"Test Levels Correct. Team Eligible"</formula>
    </cfRule>
    <cfRule type="cellIs" dxfId="373" priority="44" stopIfTrue="1" operator="notEqual">
      <formula>"Test Levels Correct. Team Eligible"</formula>
    </cfRule>
  </conditionalFormatting>
  <conditionalFormatting sqref="M23">
    <cfRule type="cellIs" dxfId="372" priority="13" stopIfTrue="1" operator="equal">
      <formula>"Must give name and division of other team(s)."</formula>
    </cfRule>
  </conditionalFormatting>
  <dataValidations xWindow="907" yWindow="417" count="8">
    <dataValidation allowBlank="1" showInputMessage="1" showErrorMessage="1" prompt="Give team names and divisions S, J, AN, BN, A or M in brackets_x000a_Eg Knightmoves (S)" sqref="M3:M22" xr:uid="{00000000-0002-0000-0100-000000000000}"/>
    <dataValidation type="date" allowBlank="1" showInputMessage="1" showErrorMessage="1" prompt="dd/mm/yyyy" sqref="D3:D22" xr:uid="{00000000-0002-0000-0100-000002000000}">
      <formula1>1</formula1>
      <formula2>73051</formula2>
    </dataValidation>
    <dataValidation allowBlank="1" showInputMessage="1" showErrorMessage="1" prompt="yyyy_x000a_" sqref="N1" xr:uid="{00000000-0002-0000-0100-000008000000}"/>
    <dataValidation type="list" allowBlank="1" showInputMessage="1" showErrorMessage="1" prompt="Yes_x000a_Permanent Resident_x000a_Temporary Visa_x000a_" sqref="H3:H22" xr:uid="{00000000-0002-0000-0100-000001000000}">
      <formula1>$N$3:$N$5</formula1>
    </dataValidation>
    <dataValidation type="list" allowBlank="1" showInputMessage="1" showErrorMessage="1" prompt="Put Yes or leave blank if No." sqref="L3:L22" xr:uid="{00000000-0002-0000-0100-000006000000}">
      <formula1>$N$3</formula1>
    </dataValidation>
    <dataValidation type="list" allowBlank="1" showInputMessage="1" showErrorMessage="1" prompt="Choose highest level or equivalant_x000a_" sqref="J3:J22" xr:uid="{00000000-0002-0000-0100-000003000000}">
      <formula1>$N$7:$N$14</formula1>
    </dataValidation>
    <dataValidation type="list" allowBlank="1" showInputMessage="1" showErrorMessage="1" prompt="If not Australian citizen, clearance application must be lodged. NO EXCEPTIONS." sqref="I3:I22" xr:uid="{00000000-0002-0000-0100-000004000000}">
      <formula1>$N$16:$N$19</formula1>
    </dataValidation>
    <dataValidation type="list" allowBlank="1" showInputMessage="1" showErrorMessage="1" sqref="K1 M1" xr:uid="{00000000-0002-0000-0100-000005000000}">
      <formula1>$O$16:$O$23</formula1>
    </dataValidation>
  </dataValidations>
  <printOptions horizontalCentered="1" verticalCentered="1"/>
  <pageMargins left="0.35433070866141736" right="0.27559055118110237" top="1.2204724409448819" bottom="0.27559055118110237" header="0.27559055118110237" footer="0.15748031496062992"/>
  <pageSetup paperSize="9" scale="81" orientation="landscape" horizontalDpi="4294967293" verticalDpi="4294967293" r:id="rId1"/>
  <headerFooter alignWithMargins="0">
    <oddHeader>&amp;L&amp;G&amp;C&amp;"Arial,Bold"&amp;12  Ice Skating Australia Limited
Affiliated to the International Skating Union
Synchronized Skating
Form Document: &amp;F&amp;R&amp;"Arial,Bold"&amp;12&amp;A</oddHeader>
    <oddFooter>&amp;C&amp;D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0362-40DE-46B6-8FC9-46718F5B61BA}">
  <sheetPr>
    <tabColor rgb="FFFF0000"/>
    <pageSetUpPr fitToPage="1"/>
  </sheetPr>
  <dimension ref="A1:O29"/>
  <sheetViews>
    <sheetView zoomScale="85" zoomScaleNormal="85" workbookViewId="0">
      <pane xSplit="3" ySplit="2" topLeftCell="D6" activePane="bottomRight" state="frozenSplit"/>
      <selection activeCell="D4" sqref="D4"/>
      <selection pane="topRight" activeCell="D4" sqref="D4"/>
      <selection pane="bottomLeft" activeCell="D4" sqref="D4"/>
      <selection pane="bottomRight" activeCell="D26" sqref="D26"/>
    </sheetView>
  </sheetViews>
  <sheetFormatPr defaultRowHeight="13.2" x14ac:dyDescent="0.25"/>
  <cols>
    <col min="1" max="1" width="5.6640625" style="4" customWidth="1"/>
    <col min="2" max="2" width="18.6640625" style="4" customWidth="1"/>
    <col min="3" max="3" width="18.6640625" customWidth="1"/>
    <col min="4" max="8" width="11.6640625" customWidth="1"/>
    <col min="9" max="9" width="18.6640625" customWidth="1"/>
    <col min="10" max="10" width="24.6640625" customWidth="1"/>
    <col min="11" max="11" width="10.33203125" style="24" hidden="1" customWidth="1"/>
    <col min="12" max="12" width="11.6640625" style="24" customWidth="1"/>
    <col min="13" max="13" width="18.6640625" customWidth="1"/>
    <col min="14" max="14" width="34.33203125" hidden="1" customWidth="1"/>
    <col min="15" max="15" width="8.88671875" hidden="1" customWidth="1"/>
    <col min="16" max="16" width="8.88671875" customWidth="1"/>
  </cols>
  <sheetData>
    <row r="1" spans="1:15" s="2" customFormat="1" ht="14.4" thickTop="1" thickBot="1" x14ac:dyDescent="0.3">
      <c r="A1" s="60" t="s">
        <v>6</v>
      </c>
      <c r="B1" s="239"/>
      <c r="C1" s="240"/>
      <c r="D1" s="240"/>
      <c r="E1" s="240"/>
      <c r="F1" s="240"/>
      <c r="G1" s="240"/>
      <c r="H1" s="240"/>
      <c r="I1" s="241"/>
      <c r="J1" s="112" t="s">
        <v>88</v>
      </c>
      <c r="K1" s="171"/>
      <c r="L1" s="115" t="s">
        <v>57</v>
      </c>
      <c r="M1" s="117"/>
      <c r="N1" s="69">
        <v>46203</v>
      </c>
    </row>
    <row r="2" spans="1:15" s="47" customFormat="1" ht="51" customHeight="1" x14ac:dyDescent="0.2">
      <c r="A2" s="57"/>
      <c r="B2" s="58" t="s">
        <v>70</v>
      </c>
      <c r="C2" s="58" t="s">
        <v>49</v>
      </c>
      <c r="D2" s="58" t="s">
        <v>12</v>
      </c>
      <c r="E2" s="58" t="s">
        <v>13</v>
      </c>
      <c r="F2" s="58" t="s">
        <v>11</v>
      </c>
      <c r="G2" s="58" t="s">
        <v>46</v>
      </c>
      <c r="H2" s="58" t="s">
        <v>66</v>
      </c>
      <c r="I2" s="59" t="s">
        <v>17</v>
      </c>
      <c r="J2" s="58" t="s">
        <v>45</v>
      </c>
      <c r="K2" s="58" t="s">
        <v>39</v>
      </c>
      <c r="L2" s="64" t="s">
        <v>47</v>
      </c>
      <c r="M2" s="107" t="s">
        <v>48</v>
      </c>
      <c r="N2" s="68"/>
    </row>
    <row r="3" spans="1:15" s="4" customFormat="1" x14ac:dyDescent="0.25">
      <c r="A3" s="3">
        <v>1</v>
      </c>
      <c r="B3" s="122"/>
      <c r="C3" s="122"/>
      <c r="D3" s="123"/>
      <c r="E3" s="124"/>
      <c r="F3" s="124"/>
      <c r="G3" s="125" t="str">
        <f>IF(ISBLANK(D3),"",TRUNC(YEARFRAC(N1,D3)))</f>
        <v/>
      </c>
      <c r="H3" s="126"/>
      <c r="I3" s="51"/>
      <c r="J3" s="124"/>
      <c r="K3" s="124" t="e">
        <f>VLOOKUP(J3,N7:O14,2,FALSE)</f>
        <v>#N/A</v>
      </c>
      <c r="L3" s="124"/>
      <c r="M3" s="134"/>
      <c r="N3" s="4" t="s">
        <v>7</v>
      </c>
    </row>
    <row r="4" spans="1:15" x14ac:dyDescent="0.25">
      <c r="A4" s="3">
        <v>2</v>
      </c>
      <c r="B4" s="122"/>
      <c r="C4" s="122"/>
      <c r="D4" s="123"/>
      <c r="E4" s="124"/>
      <c r="F4" s="124"/>
      <c r="G4" s="125" t="str">
        <f>IF(ISBLANK(D4),"",TRUNC(YEARFRAC(N1,D4)))</f>
        <v/>
      </c>
      <c r="H4" s="126"/>
      <c r="I4" s="51"/>
      <c r="J4" s="124"/>
      <c r="K4" s="124" t="e">
        <f>VLOOKUP(J4,N7:O14,2,FALSE)</f>
        <v>#N/A</v>
      </c>
      <c r="L4" s="124"/>
      <c r="M4" s="134"/>
      <c r="N4" s="101" t="s">
        <v>64</v>
      </c>
    </row>
    <row r="5" spans="1:15" x14ac:dyDescent="0.25">
      <c r="A5" s="3">
        <v>3</v>
      </c>
      <c r="B5" s="122"/>
      <c r="C5" s="122"/>
      <c r="D5" s="123"/>
      <c r="E5" s="124"/>
      <c r="F5" s="124"/>
      <c r="G5" s="125" t="str">
        <f>IF(ISBLANK(D5),"",TRUNC(YEARFRAC(N1,D5)))</f>
        <v/>
      </c>
      <c r="H5" s="126"/>
      <c r="I5" s="51"/>
      <c r="J5" s="124"/>
      <c r="K5" s="124" t="e">
        <f>VLOOKUP(J5,N7:O14,2,FALSE)</f>
        <v>#N/A</v>
      </c>
      <c r="L5" s="124"/>
      <c r="M5" s="134"/>
      <c r="N5" s="101" t="s">
        <v>65</v>
      </c>
    </row>
    <row r="6" spans="1:15" x14ac:dyDescent="0.25">
      <c r="A6" s="3">
        <v>4</v>
      </c>
      <c r="B6" s="122"/>
      <c r="C6" s="122"/>
      <c r="D6" s="123"/>
      <c r="E6" s="124"/>
      <c r="F6" s="124"/>
      <c r="G6" s="125" t="str">
        <f>IF(ISBLANK(D6),"",TRUNC(YEARFRAC(N1,D6)))</f>
        <v/>
      </c>
      <c r="H6" s="126"/>
      <c r="I6" s="51"/>
      <c r="J6" s="124"/>
      <c r="K6" s="124" t="e">
        <f>VLOOKUP(J6,N7:O14,2,FALSE)</f>
        <v>#N/A</v>
      </c>
      <c r="L6" s="124"/>
      <c r="M6" s="134"/>
      <c r="N6" s="6" t="s">
        <v>19</v>
      </c>
      <c r="O6" s="23" t="s">
        <v>20</v>
      </c>
    </row>
    <row r="7" spans="1:15" x14ac:dyDescent="0.25">
      <c r="A7" s="3">
        <v>5</v>
      </c>
      <c r="B7" s="122"/>
      <c r="C7" s="122"/>
      <c r="D7" s="123"/>
      <c r="E7" s="124"/>
      <c r="F7" s="124"/>
      <c r="G7" s="125" t="str">
        <f>IF(ISBLANK(D7),"",TRUNC(YEARFRAC(N1,D7)))</f>
        <v/>
      </c>
      <c r="H7" s="126"/>
      <c r="I7" s="51"/>
      <c r="J7" s="124"/>
      <c r="K7" s="124" t="e">
        <f>VLOOKUP(J7,N7:O14,2,FALSE)</f>
        <v>#N/A</v>
      </c>
      <c r="L7" s="124"/>
      <c r="M7" s="134"/>
      <c r="N7" t="s">
        <v>16</v>
      </c>
      <c r="O7" s="27">
        <v>0</v>
      </c>
    </row>
    <row r="8" spans="1:15" x14ac:dyDescent="0.25">
      <c r="A8" s="3">
        <v>6</v>
      </c>
      <c r="B8" s="122"/>
      <c r="C8" s="122"/>
      <c r="D8" s="123"/>
      <c r="E8" s="124"/>
      <c r="F8" s="124"/>
      <c r="G8" s="125" t="str">
        <f>IF(ISBLANK(D8),"",TRUNC(YEARFRAC(N1,D8)))</f>
        <v/>
      </c>
      <c r="H8" s="126"/>
      <c r="I8" s="51"/>
      <c r="J8" s="124"/>
      <c r="K8" s="124" t="e">
        <f>VLOOKUP(J8,N7:O14,2,FALSE)</f>
        <v>#N/A</v>
      </c>
      <c r="L8" s="124"/>
      <c r="M8" s="134"/>
      <c r="N8" s="35" t="s">
        <v>78</v>
      </c>
      <c r="O8" s="27">
        <v>1</v>
      </c>
    </row>
    <row r="9" spans="1:15" x14ac:dyDescent="0.25">
      <c r="A9" s="3">
        <v>7</v>
      </c>
      <c r="B9" s="122"/>
      <c r="C9" s="122"/>
      <c r="D9" s="123"/>
      <c r="E9" s="124"/>
      <c r="F9" s="124"/>
      <c r="G9" s="125" t="str">
        <f>IF(ISBLANK(D9),"",TRUNC(YEARFRAC(N1,D9)))</f>
        <v/>
      </c>
      <c r="H9" s="126"/>
      <c r="I9" s="51"/>
      <c r="J9" s="124"/>
      <c r="K9" s="124" t="e">
        <f>VLOOKUP(J9,N7:O14,2,FALSE)</f>
        <v>#N/A</v>
      </c>
      <c r="L9" s="124"/>
      <c r="M9" s="134"/>
      <c r="N9" t="s">
        <v>79</v>
      </c>
      <c r="O9" s="27">
        <v>2</v>
      </c>
    </row>
    <row r="10" spans="1:15" x14ac:dyDescent="0.25">
      <c r="A10" s="3">
        <v>8</v>
      </c>
      <c r="B10" s="122"/>
      <c r="C10" s="122"/>
      <c r="D10" s="123"/>
      <c r="E10" s="124"/>
      <c r="F10" s="124"/>
      <c r="G10" s="125" t="str">
        <f>IF(ISBLANK(D10),"",TRUNC(YEARFRAC(N1,D10)))</f>
        <v/>
      </c>
      <c r="H10" s="126"/>
      <c r="I10" s="51"/>
      <c r="J10" s="124"/>
      <c r="K10" s="124" t="e">
        <f>VLOOKUP(J10,N7:O14,2,FALSE)</f>
        <v>#N/A</v>
      </c>
      <c r="L10" s="124"/>
      <c r="M10" s="134"/>
      <c r="N10" s="35" t="s">
        <v>80</v>
      </c>
      <c r="O10" s="27">
        <v>3</v>
      </c>
    </row>
    <row r="11" spans="1:15" x14ac:dyDescent="0.25">
      <c r="A11" s="3">
        <v>9</v>
      </c>
      <c r="B11" s="122"/>
      <c r="C11" s="122"/>
      <c r="D11" s="123"/>
      <c r="E11" s="124"/>
      <c r="F11" s="124"/>
      <c r="G11" s="125" t="str">
        <f>IF(ISBLANK(D11),"",TRUNC(YEARFRAC(N1,D11)))</f>
        <v/>
      </c>
      <c r="H11" s="126"/>
      <c r="I11" s="51"/>
      <c r="J11" s="124"/>
      <c r="K11" s="124" t="e">
        <f>VLOOKUP(J11,N7:O14,2,FALSE)</f>
        <v>#N/A</v>
      </c>
      <c r="L11" s="124"/>
      <c r="M11" s="134"/>
      <c r="N11" s="35" t="s">
        <v>81</v>
      </c>
      <c r="O11" s="27">
        <v>4</v>
      </c>
    </row>
    <row r="12" spans="1:15" x14ac:dyDescent="0.25">
      <c r="A12" s="3">
        <v>10</v>
      </c>
      <c r="B12" s="128"/>
      <c r="C12" s="128"/>
      <c r="D12" s="129"/>
      <c r="E12" s="130"/>
      <c r="F12" s="130"/>
      <c r="G12" s="125" t="str">
        <f>IF(ISBLANK(D12),"",TRUNC(YEARFRAC(N1,D12)))</f>
        <v/>
      </c>
      <c r="H12" s="131"/>
      <c r="I12" s="52"/>
      <c r="J12" s="130"/>
      <c r="K12" s="130" t="e">
        <f>VLOOKUP(J12,N7:O14,2,FALSE)</f>
        <v>#N/A</v>
      </c>
      <c r="L12" s="130"/>
      <c r="M12" s="136"/>
      <c r="N12" s="35" t="s">
        <v>82</v>
      </c>
      <c r="O12" s="27">
        <v>5</v>
      </c>
    </row>
    <row r="13" spans="1:15" x14ac:dyDescent="0.25">
      <c r="A13" s="3"/>
      <c r="B13" s="190"/>
      <c r="C13" s="190"/>
      <c r="D13" s="191"/>
      <c r="E13" s="192"/>
      <c r="F13" s="192"/>
      <c r="G13" s="193" t="str">
        <f>IF(ISBLANK(D13),"",TRUNC(YEARFRAC(N1,D13)))</f>
        <v/>
      </c>
      <c r="H13" s="194"/>
      <c r="I13" s="195"/>
      <c r="J13" s="192"/>
      <c r="K13" s="192" t="e">
        <f>VLOOKUP(J13,N7:O14,2,FALSE)</f>
        <v>#N/A</v>
      </c>
      <c r="L13" s="192"/>
      <c r="M13" s="196"/>
      <c r="N13" s="35" t="s">
        <v>83</v>
      </c>
      <c r="O13" s="27">
        <v>6</v>
      </c>
    </row>
    <row r="14" spans="1:15" x14ac:dyDescent="0.25">
      <c r="A14" s="3"/>
      <c r="B14" s="190"/>
      <c r="C14" s="190"/>
      <c r="D14" s="191"/>
      <c r="E14" s="192"/>
      <c r="F14" s="192"/>
      <c r="G14" s="193" t="str">
        <f>IF(ISBLANK(D14),"",TRUNC(YEARFRAC(N1,D14)))</f>
        <v/>
      </c>
      <c r="H14" s="194"/>
      <c r="I14" s="195"/>
      <c r="J14" s="192"/>
      <c r="K14" s="192" t="e">
        <f>VLOOKUP(J14,N7:O14,2,FALSE)</f>
        <v>#N/A</v>
      </c>
      <c r="L14" s="192"/>
      <c r="M14" s="196"/>
      <c r="N14" s="35" t="s">
        <v>84</v>
      </c>
      <c r="O14" s="27">
        <v>7</v>
      </c>
    </row>
    <row r="15" spans="1:15" x14ac:dyDescent="0.25">
      <c r="A15" s="3"/>
      <c r="B15" s="190"/>
      <c r="C15" s="190"/>
      <c r="D15" s="191"/>
      <c r="E15" s="192"/>
      <c r="F15" s="192"/>
      <c r="G15" s="193" t="str">
        <f>IF(ISBLANK(D15),"",TRUNC(YEARFRAC(N1,D15)))</f>
        <v/>
      </c>
      <c r="H15" s="194"/>
      <c r="I15" s="195"/>
      <c r="J15" s="192"/>
      <c r="K15" s="192" t="e">
        <f>VLOOKUP(J15,N7:O14,2,FALSE)</f>
        <v>#N/A</v>
      </c>
      <c r="L15" s="192"/>
      <c r="M15" s="197"/>
    </row>
    <row r="16" spans="1:15" x14ac:dyDescent="0.25">
      <c r="A16" s="3"/>
      <c r="B16" s="190"/>
      <c r="C16" s="190"/>
      <c r="D16" s="191"/>
      <c r="E16" s="192"/>
      <c r="F16" s="192"/>
      <c r="G16" s="193" t="str">
        <f>IF(ISBLANK(D16),"",TRUNC(YEARFRAC(N1,D16)))</f>
        <v/>
      </c>
      <c r="H16" s="194"/>
      <c r="I16" s="195"/>
      <c r="J16" s="192"/>
      <c r="K16" s="192" t="e">
        <f>VLOOKUP(J16,N7:O14,2,FALSE)</f>
        <v>#N/A</v>
      </c>
      <c r="L16" s="192"/>
      <c r="M16" s="196"/>
      <c r="N16" t="s">
        <v>21</v>
      </c>
      <c r="O16" t="s">
        <v>28</v>
      </c>
    </row>
    <row r="17" spans="1:15" x14ac:dyDescent="0.25">
      <c r="A17" s="3"/>
      <c r="B17" s="190"/>
      <c r="C17" s="190"/>
      <c r="D17" s="191"/>
      <c r="E17" s="192"/>
      <c r="F17" s="192"/>
      <c r="G17" s="193" t="str">
        <f>IF(ISBLANK(D17),"",TRUNC(YEARFRAC(N1,D17)))</f>
        <v/>
      </c>
      <c r="H17" s="194"/>
      <c r="I17" s="195"/>
      <c r="J17" s="192"/>
      <c r="K17" s="192" t="e">
        <f>VLOOKUP(J17,N7:O14,2,FALSE)</f>
        <v>#N/A</v>
      </c>
      <c r="L17" s="192"/>
      <c r="M17" s="196"/>
      <c r="N17" t="s">
        <v>18</v>
      </c>
      <c r="O17" s="35" t="s">
        <v>58</v>
      </c>
    </row>
    <row r="18" spans="1:15" x14ac:dyDescent="0.25">
      <c r="A18" s="3"/>
      <c r="B18" s="190"/>
      <c r="C18" s="190"/>
      <c r="D18" s="191"/>
      <c r="E18" s="192"/>
      <c r="F18" s="192"/>
      <c r="G18" s="193" t="str">
        <f>IF(ISBLANK(D18),"",TRUNC(YEARFRAC(N1,D18)))</f>
        <v/>
      </c>
      <c r="H18" s="194"/>
      <c r="I18" s="195"/>
      <c r="J18" s="192"/>
      <c r="K18" s="192" t="e">
        <f>VLOOKUP(J18,N7:O14,2,FALSE)</f>
        <v>#N/A</v>
      </c>
      <c r="L18" s="192"/>
      <c r="M18" s="196"/>
      <c r="N18" s="35" t="s">
        <v>44</v>
      </c>
      <c r="O18" s="28" t="s">
        <v>40</v>
      </c>
    </row>
    <row r="19" spans="1:15" x14ac:dyDescent="0.25">
      <c r="A19" s="170"/>
      <c r="B19" s="198"/>
      <c r="C19" s="198"/>
      <c r="D19" s="199"/>
      <c r="E19" s="200"/>
      <c r="F19" s="200"/>
      <c r="G19" s="201" t="str">
        <f>IF(ISBLANK(D19),"",TRUNC(YEARFRAC(N1,D19)))</f>
        <v/>
      </c>
      <c r="H19" s="202"/>
      <c r="I19" s="203"/>
      <c r="J19" s="200"/>
      <c r="K19" s="200" t="e">
        <f>VLOOKUP(J19,N7:O14,2,FALSE)</f>
        <v>#N/A</v>
      </c>
      <c r="L19" s="200"/>
      <c r="M19" s="204"/>
      <c r="N19" s="35"/>
      <c r="O19" t="s">
        <v>23</v>
      </c>
    </row>
    <row r="20" spans="1:15" x14ac:dyDescent="0.25">
      <c r="A20" s="170"/>
      <c r="B20" s="198"/>
      <c r="C20" s="198"/>
      <c r="D20" s="199"/>
      <c r="E20" s="200"/>
      <c r="F20" s="200"/>
      <c r="G20" s="201" t="str">
        <f>IF(ISBLANK(D20),"",TRUNC(YEARFRAC(N1,D20)))</f>
        <v/>
      </c>
      <c r="H20" s="202"/>
      <c r="I20" s="203"/>
      <c r="J20" s="200"/>
      <c r="K20" s="200" t="e">
        <f>VLOOKUP(J20,N7:O14,2,FALSE)</f>
        <v>#N/A</v>
      </c>
      <c r="L20" s="200"/>
      <c r="M20" s="204"/>
      <c r="O20" t="s">
        <v>24</v>
      </c>
    </row>
    <row r="21" spans="1:15" x14ac:dyDescent="0.25">
      <c r="A21" s="170"/>
      <c r="B21" s="198"/>
      <c r="C21" s="198"/>
      <c r="D21" s="199"/>
      <c r="E21" s="200"/>
      <c r="F21" s="200"/>
      <c r="G21" s="201" t="str">
        <f>IF(ISBLANK(D21),"",TRUNC(YEARFRAC(N1,D21)))</f>
        <v/>
      </c>
      <c r="H21" s="202"/>
      <c r="I21" s="203"/>
      <c r="J21" s="200"/>
      <c r="K21" s="200" t="e">
        <f>VLOOKUP(J21,N7:O14,2,FALSE)</f>
        <v>#N/A</v>
      </c>
      <c r="L21" s="200"/>
      <c r="M21" s="204"/>
      <c r="O21" t="s">
        <v>25</v>
      </c>
    </row>
    <row r="22" spans="1:15" x14ac:dyDescent="0.25">
      <c r="A22" s="170"/>
      <c r="B22" s="198"/>
      <c r="C22" s="198"/>
      <c r="D22" s="199"/>
      <c r="E22" s="200"/>
      <c r="F22" s="200"/>
      <c r="G22" s="201" t="str">
        <f>IF(ISBLANK(D22),"",TRUNC(YEARFRAC(N1,D22)))</f>
        <v/>
      </c>
      <c r="H22" s="202"/>
      <c r="I22" s="203"/>
      <c r="J22" s="200"/>
      <c r="K22" s="200" t="e">
        <f>VLOOKUP(J22,N7:O14,2,FALSE)</f>
        <v>#N/A</v>
      </c>
      <c r="L22" s="200"/>
      <c r="M22" s="204"/>
      <c r="N22" s="45"/>
      <c r="O22" t="s">
        <v>26</v>
      </c>
    </row>
    <row r="23" spans="1:15" s="46" customFormat="1" ht="109.95" customHeight="1" thickBot="1" x14ac:dyDescent="0.3">
      <c r="A23" s="43"/>
      <c r="B23" s="72">
        <f>COUNTA(B3:B22)</f>
        <v>0</v>
      </c>
      <c r="C23" s="72" t="str">
        <f>IF((COUNTA(B3:B22)&lt;9),"Below Minimum Number (ISA Rule 1038)","Minimum Team Number Met (ISA Rule 1038)")</f>
        <v>Below Minimum Number (ISA Rule 1038)</v>
      </c>
      <c r="D23" s="73" t="str">
        <f>IF(COUNTA(B3:B22)&lt;&gt;COUNTA(D3:D22),"Must enter all DOB","All DOB Entered")</f>
        <v>All DOB Entered</v>
      </c>
      <c r="E23" s="74" t="str">
        <f>IF(COUNTA(B3:B22)&gt;COUNTA(E3:E22),"All team members must belong to the same Member(ISA By-Law 1004)","All Member Numbers Entered")</f>
        <v>All Member Numbers Entered</v>
      </c>
      <c r="F23" s="74" t="str">
        <f>IF(COUNTA(B3:B22)&gt;COUNTA(F3:F22),"Must enter all POA","All POA Entered")</f>
        <v>All POA Entered</v>
      </c>
      <c r="G23" s="72" t="str">
        <f>IF(COUNTIF((G3:G22),"&lt;17")&gt;0,"Ages incorrect. Team ineligible (CER Article 9.4))","Ages correct for Senior9 Competition (CER Article 9.4)")</f>
        <v>Ages correct for Senior9 Competition (CER Article 9.4)</v>
      </c>
      <c r="H23" s="72" t="str">
        <f>IF(COUNTIF(H3:H22,"Perm Res")+COUNTIF(H3:H22,"Temp Visa")&gt;((B23-(B23-16))*0.5),"Citizenship incorrect. Excluding alternates, at least 50% must be Australian Citizens (ISA By-Law 1011.3)", IF(COUNTIF(H3:H22,"Temp Visa")&gt;(COUNTA(B3:B22)*0.25),"Citizenship incorrect. Excluding alternates, maximum 25% may not have permanent residency (ISA By-Law 1011.3)", IF(COUNTIF(H3:H22,"Perm Res")+COUNTIF(H3:H22,"Temp Visa")&gt;(COUNTA(B3:B22)*0.25),"Due to citizenship %, Team eligible for AFSC only","Citizenship percentage correct for international competition (CER Article 8.2.4)")))</f>
        <v>Citizenship percentage correct for international competition (CER Article 8.2.4)</v>
      </c>
      <c r="I23" s="75" t="s">
        <v>89</v>
      </c>
      <c r="J23" s="72" t="str">
        <f>IF((COUNTIF((K3:K22),"&lt;3")),"Team ineligible. All members must have passed minimum Basic Novice Pattern or Pre-Primary Dance (ISA By-Law 1031)","Test levels correct. Team eligible")</f>
        <v>Test levels correct. Team eligible</v>
      </c>
      <c r="K23" s="72"/>
      <c r="L23" s="75" t="str">
        <f>IF((COUNTIF(L3:L22,"Yes")&gt;0),"Check percentages are correct for all teams","")</f>
        <v/>
      </c>
      <c r="M23" s="114" t="str">
        <f>IF(COUNTA(L3:L22)&gt;COUNTA(M3:M22),"Must give name and division of other team(s).","")</f>
        <v/>
      </c>
      <c r="N23" s="116"/>
      <c r="O23" s="34" t="s">
        <v>27</v>
      </c>
    </row>
    <row r="24" spans="1:15" ht="13.8" thickTop="1" x14ac:dyDescent="0.25"/>
    <row r="25" spans="1:15" x14ac:dyDescent="0.25">
      <c r="A25" s="5" t="s">
        <v>14</v>
      </c>
    </row>
    <row r="26" spans="1:15" ht="15" customHeight="1" x14ac:dyDescent="0.25">
      <c r="A26" s="5" t="s">
        <v>42</v>
      </c>
      <c r="D26" s="12"/>
      <c r="E26" s="12"/>
      <c r="F26" s="12"/>
      <c r="G26" s="38"/>
      <c r="H26" s="2" t="s">
        <v>8</v>
      </c>
      <c r="I26" s="40"/>
      <c r="J26" s="12"/>
      <c r="K26" s="25"/>
      <c r="L26" s="25"/>
      <c r="M26" s="12"/>
    </row>
    <row r="27" spans="1:15" s="6" customFormat="1" ht="15" customHeight="1" x14ac:dyDescent="0.25">
      <c r="A27" s="6" t="s">
        <v>43</v>
      </c>
      <c r="D27" s="13"/>
      <c r="E27" s="13"/>
      <c r="F27" s="13"/>
      <c r="G27" s="39"/>
      <c r="H27" s="2" t="s">
        <v>8</v>
      </c>
      <c r="I27" s="41"/>
      <c r="J27" s="13"/>
      <c r="K27" s="26"/>
      <c r="L27" s="26"/>
      <c r="M27" s="13"/>
      <c r="O27"/>
    </row>
    <row r="28" spans="1:15" ht="15" customHeight="1" x14ac:dyDescent="0.25">
      <c r="A28"/>
      <c r="B28"/>
      <c r="O28" s="6"/>
    </row>
    <row r="29" spans="1:15" ht="15" customHeight="1" x14ac:dyDescent="0.25">
      <c r="A29"/>
      <c r="B29"/>
    </row>
  </sheetData>
  <sheetProtection algorithmName="SHA-512" hashValue="7Lv8AIqy5BsMeQ7qNFhUYxe64w1XThLr9Ao69OhzY9lbyETVdSF7KaNh6zxe1JZ/M+/nqVPoyK9oJWf2FHtsHQ==" saltValue="ILARiX/NLEd9OEbgLGVuog==" spinCount="100000" sheet="1" selectLockedCells="1" sort="0"/>
  <mergeCells count="1">
    <mergeCell ref="B1:I1"/>
  </mergeCells>
  <conditionalFormatting sqref="B23">
    <cfRule type="cellIs" dxfId="371" priority="40" stopIfTrue="1" operator="greaterThanOrEqual">
      <formula>9</formula>
    </cfRule>
    <cfRule type="cellIs" dxfId="370" priority="39" stopIfTrue="1" operator="lessThan">
      <formula>9</formula>
    </cfRule>
  </conditionalFormatting>
  <conditionalFormatting sqref="C23">
    <cfRule type="cellIs" dxfId="369" priority="41" stopIfTrue="1" operator="greaterThanOrEqual">
      <formula>"Minimum Team Number Met"</formula>
    </cfRule>
    <cfRule type="cellIs" dxfId="368" priority="30" operator="equal">
      <formula>"Minimum Team Number Met for AFSC/Elite 12 Only(ISA By-Law 1050)"</formula>
    </cfRule>
    <cfRule type="cellIs" dxfId="367" priority="42" stopIfTrue="1" operator="notEqual">
      <formula>"Minimum Team Number Met"</formula>
    </cfRule>
  </conditionalFormatting>
  <conditionalFormatting sqref="D23">
    <cfRule type="cellIs" dxfId="366" priority="46" stopIfTrue="1" operator="equal">
      <formula>"All DOB Entered"</formula>
    </cfRule>
    <cfRule type="cellIs" dxfId="365" priority="45" stopIfTrue="1" operator="equal">
      <formula>"Must enter all DOB"</formula>
    </cfRule>
  </conditionalFormatting>
  <conditionalFormatting sqref="E23">
    <cfRule type="cellIs" dxfId="364" priority="48" stopIfTrue="1" operator="equal">
      <formula>"All Member Numbers Entered"</formula>
    </cfRule>
    <cfRule type="cellIs" dxfId="363" priority="47" stopIfTrue="1" operator="equal">
      <formula>"All team members must belong to the same Member(ISA By-Law 1052)"</formula>
    </cfRule>
  </conditionalFormatting>
  <conditionalFormatting sqref="F23">
    <cfRule type="cellIs" dxfId="362" priority="50" stopIfTrue="1" operator="equal">
      <formula>"All POA Entered"</formula>
    </cfRule>
    <cfRule type="cellIs" dxfId="361" priority="49" stopIfTrue="1" operator="equal">
      <formula>"Must enter all POA"</formula>
    </cfRule>
  </conditionalFormatting>
  <conditionalFormatting sqref="G23 I23">
    <cfRule type="cellIs" dxfId="360" priority="56" stopIfTrue="1" operator="equal">
      <formula>"Ages Correct for Senior9 Competition (CER Article 9.4)"</formula>
    </cfRule>
  </conditionalFormatting>
  <conditionalFormatting sqref="G3:I22">
    <cfRule type="cellIs" dxfId="359" priority="52" stopIfTrue="1" operator="greaterThanOrEqual">
      <formula>17</formula>
    </cfRule>
    <cfRule type="cellIs" dxfId="358" priority="51" stopIfTrue="1" operator="lessThan">
      <formula>17</formula>
    </cfRule>
  </conditionalFormatting>
  <conditionalFormatting sqref="H3:H18">
    <cfRule type="cellIs" dxfId="357" priority="9" operator="equal">
      <formula>"Temp Visa"</formula>
    </cfRule>
  </conditionalFormatting>
  <conditionalFormatting sqref="H3:H22">
    <cfRule type="cellIs" dxfId="356" priority="35" stopIfTrue="1" operator="equal">
      <formula>"yes"</formula>
    </cfRule>
    <cfRule type="cellIs" dxfId="355" priority="34" stopIfTrue="1" operator="equal">
      <formula>"Perm Res"</formula>
    </cfRule>
  </conditionalFormatting>
  <conditionalFormatting sqref="H23">
    <cfRule type="cellIs" dxfId="354" priority="3" stopIfTrue="1" operator="equal">
      <formula>"Due to citizenship %, Team eligible for AFSC only"</formula>
    </cfRule>
    <cfRule type="cellIs" dxfId="353" priority="4" stopIfTrue="1" operator="equal">
      <formula>"Citizenship percentage correct for international competition (CER Article 8.2.4)"</formula>
    </cfRule>
    <cfRule type="cellIs" dxfId="352" priority="1" stopIfTrue="1" operator="equal">
      <formula>"Citizenship incorrect. Excluding alternates, at least 50% must be Australian Citizens (ISA By-Law 1011.3)"</formula>
    </cfRule>
    <cfRule type="cellIs" dxfId="351" priority="2" stopIfTrue="1" operator="equal">
      <formula>"Citizenship incorrect. Excluding alternates, maximum 25% may not have permanent residency (ISA By-Law 1011.3)"</formula>
    </cfRule>
  </conditionalFormatting>
  <conditionalFormatting sqref="I3:I22">
    <cfRule type="cellIs" dxfId="350" priority="29" operator="equal">
      <formula>"Application made"</formula>
    </cfRule>
    <cfRule type="cellIs" dxfId="349" priority="28" operator="equal">
      <formula>"No application made"</formula>
    </cfRule>
    <cfRule type="cellIs" dxfId="348" priority="27" operator="equal">
      <formula>"Clearance received"</formula>
    </cfRule>
    <cfRule type="cellIs" dxfId="347" priority="26" operator="equal">
      <formula>"Not required"</formula>
    </cfRule>
    <cfRule type="cellIs" dxfId="346" priority="57" stopIfTrue="1" operator="equal">
      <formula>$N$18</formula>
    </cfRule>
    <cfRule type="cellIs" dxfId="345" priority="58" stopIfTrue="1" operator="equal">
      <formula>$N$17</formula>
    </cfRule>
    <cfRule type="cellIs" dxfId="344" priority="59" stopIfTrue="1" operator="equal">
      <formula>$N$16</formula>
    </cfRule>
  </conditionalFormatting>
  <conditionalFormatting sqref="I23 G23">
    <cfRule type="cellIs" dxfId="343" priority="55" stopIfTrue="1" operator="equal">
      <formula>"Ages incorrect. Team ineligible (CER Article 9.4))"</formula>
    </cfRule>
  </conditionalFormatting>
  <conditionalFormatting sqref="I23">
    <cfRule type="cellIs" dxfId="342" priority="38" stopIfTrue="1" operator="equal">
      <formula>"ISU Member or ISA Permission Required"</formula>
    </cfRule>
  </conditionalFormatting>
  <conditionalFormatting sqref="J23">
    <cfRule type="cellIs" dxfId="341" priority="53" stopIfTrue="1" operator="equal">
      <formula>"Test Levels Correct. Team Eligible"</formula>
    </cfRule>
    <cfRule type="cellIs" dxfId="340" priority="54" stopIfTrue="1" operator="notEqual">
      <formula>"Test Levels Correct. Team Eligible"</formula>
    </cfRule>
  </conditionalFormatting>
  <conditionalFormatting sqref="K23">
    <cfRule type="cellIs" dxfId="339" priority="43" stopIfTrue="1" operator="equal">
      <formula>"Minimum 75% must have passed (ISA Rule 1049)"</formula>
    </cfRule>
    <cfRule type="cellIs" dxfId="338" priority="44" stopIfTrue="1" operator="notEqual">
      <formula>"Minimum 75% must have passed"</formula>
    </cfRule>
  </conditionalFormatting>
  <conditionalFormatting sqref="M23">
    <cfRule type="cellIs" dxfId="337" priority="33" stopIfTrue="1" operator="equal">
      <formula>"Must give name and division of other team(s)."</formula>
    </cfRule>
  </conditionalFormatting>
  <conditionalFormatting sqref="N23">
    <cfRule type="cellIs" dxfId="336" priority="13" stopIfTrue="1" operator="equal">
      <formula>"Citizenship percentage correct for international competition (ISU Rule 109.2d)"</formula>
    </cfRule>
    <cfRule type="cellIs" dxfId="335" priority="12" stopIfTrue="1" operator="equal">
      <formula>"Citizenship Correct for AUS only (ISA By-Law 1011.3)"</formula>
    </cfRule>
    <cfRule type="cellIs" dxfId="334" priority="11" stopIfTrue="1" operator="equal">
      <formula>"Citizenship incorrect. Excluding alternates, maximum 25% may not have permanent residency (ISA By-Law 1011.3)"</formula>
    </cfRule>
    <cfRule type="cellIs" dxfId="333" priority="10" stopIfTrue="1" operator="equal">
      <formula>"Citizenship incorrect. Excluding alternates, at least 50% must be Australian Citizens (ISA By-Law 1011.3)"</formula>
    </cfRule>
  </conditionalFormatting>
  <dataValidations xWindow="878" yWindow="382" count="9">
    <dataValidation type="list" allowBlank="1" showInputMessage="1" showErrorMessage="1" sqref="K1 M1" xr:uid="{923F4A58-C5B0-44EA-9177-B2299A6D4289}">
      <formula1>$O$16:$O$23</formula1>
    </dataValidation>
    <dataValidation type="list" allowBlank="1" showInputMessage="1" showErrorMessage="1" prompt="If not Australian citizen, clearance application must be lodged. NO EXCEPTIONS." sqref="I3:I22" xr:uid="{AA801E06-AAC6-405F-9663-D5321DDC57CF}">
      <formula1>$N$16:$N$19</formula1>
    </dataValidation>
    <dataValidation type="list" allowBlank="1" showInputMessage="1" showErrorMessage="1" prompt="Choose highest level or equivalant_x000a_" sqref="J3:J22" xr:uid="{D4FC09BF-E32D-4289-8B1A-D3312A8F6479}">
      <formula1>$N$7:$N$14</formula1>
    </dataValidation>
    <dataValidation type="list" allowBlank="1" showInputMessage="1" showErrorMessage="1" prompt="Put Yes or leave blank if No." sqref="L3:L22" xr:uid="{CF6E3F78-81C8-49FD-9005-8651F59FF77F}">
      <formula1>$N$3</formula1>
    </dataValidation>
    <dataValidation type="list" allowBlank="1" showInputMessage="1" showErrorMessage="1" prompt="Yes/No_x000a_" sqref="H19:H22" xr:uid="{0128C20D-0466-4CA1-8F57-CC618B0AB9B5}">
      <formula1>$N$3:$N$4</formula1>
    </dataValidation>
    <dataValidation allowBlank="1" showInputMessage="1" showErrorMessage="1" prompt="yyyy_x000a_" sqref="N1" xr:uid="{B137C83F-D1C2-4B32-B506-F9EDD2369508}"/>
    <dataValidation type="date" allowBlank="1" showInputMessage="1" showErrorMessage="1" prompt="dd/mm/yyyy" sqref="D3:D22" xr:uid="{EF6F9550-8EAC-42AE-8335-6E3D7470FFB8}">
      <formula1>1</formula1>
      <formula2>73051</formula2>
    </dataValidation>
    <dataValidation allowBlank="1" showInputMessage="1" showErrorMessage="1" prompt="Give team names and divisions S, J, AN, BN, A or M in brackets_x000a_Eg Knightmoves (S)" sqref="M3:M22" xr:uid="{B3DC6287-5CD2-4B9C-9F9E-144B4D284ED4}"/>
    <dataValidation type="list" allowBlank="1" showInputMessage="1" showErrorMessage="1" prompt="Yes_x000a_Permanent Resident_x000a_Temporary Visa_x000a_" sqref="H3:H18" xr:uid="{D452AB31-6ECE-433C-A928-B2E2F0C4CBAE}">
      <formula1>$N$3:$N$5</formula1>
    </dataValidation>
  </dataValidations>
  <printOptions horizontalCentered="1" verticalCentered="1"/>
  <pageMargins left="0.35433070866141736" right="0.27559055118110237" top="1.2204724409448819" bottom="0.27559055118110237" header="0.27559055118110237" footer="0.15748031496062992"/>
  <pageSetup paperSize="9" scale="81" orientation="landscape" horizontalDpi="4294967293" verticalDpi="4294967293" r:id="rId1"/>
  <headerFooter alignWithMargins="0">
    <oddHeader>&amp;L &amp;G&amp;C&amp;"Arial,Bold"&amp;12  Ice Skating Australia Limited
Affiliated to the International Skating Union
Synchronized Skating
Form Document: &amp;F&amp;R&amp;"Arial,Bold"&amp;12&amp;A</oddHeader>
    <oddFooter>&amp;C&amp;D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rgb="FFFF6600"/>
    <pageSetUpPr fitToPage="1"/>
  </sheetPr>
  <dimension ref="A1:P28"/>
  <sheetViews>
    <sheetView zoomScale="85" zoomScaleNormal="85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B3" sqref="B3"/>
    </sheetView>
  </sheetViews>
  <sheetFormatPr defaultRowHeight="13.2" x14ac:dyDescent="0.25"/>
  <cols>
    <col min="1" max="1" width="5.6640625" style="4" customWidth="1"/>
    <col min="2" max="2" width="18.6640625" style="4" customWidth="1"/>
    <col min="3" max="3" width="18.6640625" customWidth="1"/>
    <col min="4" max="8" width="11.6640625" customWidth="1"/>
    <col min="9" max="9" width="18.6640625" style="24" customWidth="1"/>
    <col min="10" max="10" width="24.6640625" customWidth="1"/>
    <col min="11" max="11" width="9.5546875" hidden="1" customWidth="1"/>
    <col min="12" max="12" width="11.6640625" customWidth="1"/>
    <col min="13" max="13" width="18.6640625" customWidth="1"/>
    <col min="14" max="14" width="34.33203125" hidden="1" customWidth="1"/>
    <col min="15" max="15" width="9.109375" hidden="1" customWidth="1"/>
  </cols>
  <sheetData>
    <row r="1" spans="1:15" s="2" customFormat="1" ht="14.4" thickTop="1" thickBot="1" x14ac:dyDescent="0.3">
      <c r="A1" s="60" t="s">
        <v>6</v>
      </c>
      <c r="B1" s="242"/>
      <c r="C1" s="243"/>
      <c r="D1" s="243"/>
      <c r="E1" s="243"/>
      <c r="F1" s="243"/>
      <c r="G1" s="243"/>
      <c r="H1" s="243"/>
      <c r="I1" s="243"/>
      <c r="J1" s="112" t="s">
        <v>88</v>
      </c>
      <c r="K1" s="118"/>
      <c r="L1" s="115" t="s">
        <v>57</v>
      </c>
      <c r="M1" s="117"/>
      <c r="N1" s="69">
        <v>46203</v>
      </c>
    </row>
    <row r="2" spans="1:15" s="47" customFormat="1" ht="51" customHeight="1" x14ac:dyDescent="0.25">
      <c r="A2" s="57"/>
      <c r="B2" s="58" t="s">
        <v>70</v>
      </c>
      <c r="C2" s="58" t="s">
        <v>49</v>
      </c>
      <c r="D2" s="58" t="s">
        <v>12</v>
      </c>
      <c r="E2" s="58" t="s">
        <v>13</v>
      </c>
      <c r="F2" s="58" t="s">
        <v>11</v>
      </c>
      <c r="G2" s="58" t="s">
        <v>46</v>
      </c>
      <c r="H2" s="58" t="s">
        <v>66</v>
      </c>
      <c r="I2" s="59" t="s">
        <v>17</v>
      </c>
      <c r="J2" s="58" t="s">
        <v>45</v>
      </c>
      <c r="K2" s="58" t="s">
        <v>39</v>
      </c>
      <c r="L2" s="64" t="s">
        <v>50</v>
      </c>
      <c r="M2" s="107" t="s">
        <v>48</v>
      </c>
    </row>
    <row r="3" spans="1:15" s="4" customFormat="1" x14ac:dyDescent="0.25">
      <c r="A3" s="3">
        <v>1</v>
      </c>
      <c r="B3" s="122"/>
      <c r="C3" s="122"/>
      <c r="D3" s="123"/>
      <c r="E3" s="124"/>
      <c r="F3" s="124"/>
      <c r="G3" s="125" t="str">
        <f>IF(ISBLANK(D3),"",TRUNC(YEARFRAC(N1,D3)))</f>
        <v/>
      </c>
      <c r="H3" s="126"/>
      <c r="I3" s="51"/>
      <c r="J3" s="124"/>
      <c r="K3" s="137" t="e">
        <f>VLOOKUP(J3,N7:O22,2,FALSE)</f>
        <v>#N/A</v>
      </c>
      <c r="L3" s="138"/>
      <c r="M3" s="139"/>
      <c r="N3" s="4" t="s">
        <v>7</v>
      </c>
    </row>
    <row r="4" spans="1:15" x14ac:dyDescent="0.25">
      <c r="A4" s="3">
        <v>2</v>
      </c>
      <c r="B4" s="122"/>
      <c r="C4" s="122"/>
      <c r="D4" s="123"/>
      <c r="E4" s="124"/>
      <c r="F4" s="124"/>
      <c r="G4" s="125" t="str">
        <f>IF(ISBLANK(D4),"",TRUNC(YEARFRAC(N1,D4)))</f>
        <v/>
      </c>
      <c r="H4" s="126"/>
      <c r="I4" s="51"/>
      <c r="J4" s="124"/>
      <c r="K4" s="137" t="e">
        <f>VLOOKUP(J4,N7:O22,2,FALSE)</f>
        <v>#N/A</v>
      </c>
      <c r="L4" s="138"/>
      <c r="M4" s="139"/>
      <c r="N4" s="101" t="s">
        <v>64</v>
      </c>
    </row>
    <row r="5" spans="1:15" x14ac:dyDescent="0.25">
      <c r="A5" s="3">
        <v>3</v>
      </c>
      <c r="B5" s="122"/>
      <c r="C5" s="122"/>
      <c r="D5" s="123"/>
      <c r="E5" s="124"/>
      <c r="F5" s="124"/>
      <c r="G5" s="125" t="str">
        <f>IF(ISBLANK(D5),"",TRUNC(YEARFRAC(N1,D5)))</f>
        <v/>
      </c>
      <c r="H5" s="126"/>
      <c r="I5" s="51"/>
      <c r="J5" s="124"/>
      <c r="K5" s="137" t="e">
        <f>VLOOKUP(J5,N7:O22,2,FALSE)</f>
        <v>#N/A</v>
      </c>
      <c r="L5" s="138"/>
      <c r="M5" s="139"/>
      <c r="N5" s="101" t="s">
        <v>65</v>
      </c>
    </row>
    <row r="6" spans="1:15" x14ac:dyDescent="0.25">
      <c r="A6" s="3">
        <v>4</v>
      </c>
      <c r="B6" s="122"/>
      <c r="C6" s="122"/>
      <c r="D6" s="123"/>
      <c r="E6" s="124"/>
      <c r="F6" s="124"/>
      <c r="G6" s="125" t="str">
        <f>IF(ISBLANK(D6),"",TRUNC(YEARFRAC(N1,D6)))</f>
        <v/>
      </c>
      <c r="H6" s="126"/>
      <c r="I6" s="51"/>
      <c r="J6" s="124"/>
      <c r="K6" s="137" t="e">
        <f>VLOOKUP(J6,N7:O22,2,FALSE)</f>
        <v>#N/A</v>
      </c>
      <c r="L6" s="138"/>
      <c r="M6" s="139"/>
      <c r="N6" s="6" t="s">
        <v>19</v>
      </c>
      <c r="O6" s="23" t="s">
        <v>20</v>
      </c>
    </row>
    <row r="7" spans="1:15" x14ac:dyDescent="0.25">
      <c r="A7" s="3">
        <v>5</v>
      </c>
      <c r="B7" s="122"/>
      <c r="C7" s="122"/>
      <c r="D7" s="123"/>
      <c r="E7" s="124"/>
      <c r="F7" s="124"/>
      <c r="G7" s="125" t="str">
        <f>IF(ISBLANK(D7),"",TRUNC(YEARFRAC(N1,D7)))</f>
        <v/>
      </c>
      <c r="H7" s="126"/>
      <c r="I7" s="51"/>
      <c r="J7" s="124"/>
      <c r="K7" s="137" t="e">
        <f>VLOOKUP(J7,N7:O22,2,FALSE)</f>
        <v>#N/A</v>
      </c>
      <c r="L7" s="138"/>
      <c r="M7" s="139"/>
      <c r="N7" t="s">
        <v>16</v>
      </c>
      <c r="O7" s="71" t="s">
        <v>56</v>
      </c>
    </row>
    <row r="8" spans="1:15" x14ac:dyDescent="0.25">
      <c r="A8" s="3">
        <v>6</v>
      </c>
      <c r="B8" s="122"/>
      <c r="C8" s="122"/>
      <c r="D8" s="123"/>
      <c r="E8" s="124"/>
      <c r="F8" s="124"/>
      <c r="G8" s="125" t="str">
        <f>IF(ISBLANK(D8),"",TRUNC(YEARFRAC(N1,D8)))</f>
        <v/>
      </c>
      <c r="H8" s="126"/>
      <c r="I8" s="51"/>
      <c r="J8" s="124"/>
      <c r="K8" s="137" t="e">
        <f>VLOOKUP(J8,N7:O22,2,FALSE)</f>
        <v>#N/A</v>
      </c>
      <c r="L8" s="138"/>
      <c r="M8" s="139"/>
      <c r="N8" s="35" t="s">
        <v>78</v>
      </c>
      <c r="O8" s="27">
        <v>1</v>
      </c>
    </row>
    <row r="9" spans="1:15" x14ac:dyDescent="0.25">
      <c r="A9" s="3">
        <v>7</v>
      </c>
      <c r="B9" s="122"/>
      <c r="C9" s="122"/>
      <c r="D9" s="123"/>
      <c r="E9" s="124"/>
      <c r="F9" s="124"/>
      <c r="G9" s="125" t="str">
        <f>IF(ISBLANK(D9),"",TRUNC(YEARFRAC(N1,D9)))</f>
        <v/>
      </c>
      <c r="H9" s="126"/>
      <c r="I9" s="51"/>
      <c r="J9" s="124"/>
      <c r="K9" s="137" t="e">
        <f>VLOOKUP(J9,N7:O22,2,FALSE)</f>
        <v>#N/A</v>
      </c>
      <c r="L9" s="138"/>
      <c r="M9" s="139"/>
      <c r="N9" t="s">
        <v>79</v>
      </c>
      <c r="O9" s="27">
        <v>2</v>
      </c>
    </row>
    <row r="10" spans="1:15" x14ac:dyDescent="0.25">
      <c r="A10" s="3">
        <v>8</v>
      </c>
      <c r="B10" s="122"/>
      <c r="C10" s="122"/>
      <c r="D10" s="123"/>
      <c r="E10" s="124"/>
      <c r="F10" s="124"/>
      <c r="G10" s="125" t="str">
        <f>IF(ISBLANK(D10),"",TRUNC(YEARFRAC(N1,D10)))</f>
        <v/>
      </c>
      <c r="H10" s="126"/>
      <c r="I10" s="51"/>
      <c r="J10" s="124"/>
      <c r="K10" s="137" t="e">
        <f>VLOOKUP(J10,N7:O22,2,FALSE)</f>
        <v>#N/A</v>
      </c>
      <c r="L10" s="138"/>
      <c r="M10" s="139"/>
      <c r="N10" s="35" t="s">
        <v>80</v>
      </c>
      <c r="O10" s="27">
        <v>3</v>
      </c>
    </row>
    <row r="11" spans="1:15" x14ac:dyDescent="0.25">
      <c r="A11" s="3">
        <v>9</v>
      </c>
      <c r="B11" s="122"/>
      <c r="C11" s="122"/>
      <c r="D11" s="123"/>
      <c r="E11" s="124"/>
      <c r="F11" s="124"/>
      <c r="G11" s="125" t="str">
        <f>IF(ISBLANK(D11),"",TRUNC(YEARFRAC(N1,D11)))</f>
        <v/>
      </c>
      <c r="H11" s="126"/>
      <c r="I11" s="51"/>
      <c r="J11" s="124"/>
      <c r="K11" s="137" t="e">
        <f>VLOOKUP(J11,N7:O22,2,FALSE)</f>
        <v>#N/A</v>
      </c>
      <c r="L11" s="138"/>
      <c r="M11" s="139"/>
      <c r="N11" s="35" t="s">
        <v>81</v>
      </c>
      <c r="O11" s="27">
        <v>4</v>
      </c>
    </row>
    <row r="12" spans="1:15" x14ac:dyDescent="0.25">
      <c r="A12" s="3">
        <v>10</v>
      </c>
      <c r="B12" s="122"/>
      <c r="C12" s="122"/>
      <c r="D12" s="123"/>
      <c r="E12" s="124"/>
      <c r="F12" s="124"/>
      <c r="G12" s="125" t="str">
        <f>IF(ISBLANK(D12),"",TRUNC(YEARFRAC(N1,D12)))</f>
        <v/>
      </c>
      <c r="H12" s="126"/>
      <c r="I12" s="51"/>
      <c r="J12" s="124"/>
      <c r="K12" s="137" t="e">
        <f>VLOOKUP(J12,N7:O22,2,FALSE)</f>
        <v>#N/A</v>
      </c>
      <c r="L12" s="138"/>
      <c r="M12" s="139"/>
      <c r="N12" s="35" t="s">
        <v>82</v>
      </c>
      <c r="O12" s="27">
        <v>5</v>
      </c>
    </row>
    <row r="13" spans="1:15" x14ac:dyDescent="0.25">
      <c r="A13" s="3">
        <v>11</v>
      </c>
      <c r="B13" s="122"/>
      <c r="C13" s="122"/>
      <c r="D13" s="123"/>
      <c r="E13" s="124"/>
      <c r="F13" s="124"/>
      <c r="G13" s="125" t="str">
        <f>IF(ISBLANK(D13),"",TRUNC(YEARFRAC(N1,D13)))</f>
        <v/>
      </c>
      <c r="H13" s="126"/>
      <c r="I13" s="51"/>
      <c r="J13" s="124"/>
      <c r="K13" s="137" t="e">
        <f>VLOOKUP(J13,N7:O22,2,FALSE)</f>
        <v>#N/A</v>
      </c>
      <c r="L13" s="138"/>
      <c r="M13" s="139"/>
      <c r="N13" s="35" t="s">
        <v>83</v>
      </c>
      <c r="O13" s="27">
        <v>6</v>
      </c>
    </row>
    <row r="14" spans="1:15" x14ac:dyDescent="0.25">
      <c r="A14" s="3">
        <v>12</v>
      </c>
      <c r="B14" s="122"/>
      <c r="C14" s="122"/>
      <c r="D14" s="123"/>
      <c r="E14" s="124"/>
      <c r="F14" s="124"/>
      <c r="G14" s="125" t="str">
        <f>IF(ISBLANK(D14),"",TRUNC(YEARFRAC(N1,D14)))</f>
        <v/>
      </c>
      <c r="H14" s="126"/>
      <c r="I14" s="51"/>
      <c r="J14" s="124"/>
      <c r="K14" s="137" t="e">
        <f>VLOOKUP(J14,N7:O22,2,FALSE)</f>
        <v>#N/A</v>
      </c>
      <c r="L14" s="138"/>
      <c r="M14" s="139"/>
      <c r="N14" s="35" t="s">
        <v>84</v>
      </c>
      <c r="O14" s="27">
        <v>7</v>
      </c>
    </row>
    <row r="15" spans="1:15" x14ac:dyDescent="0.25">
      <c r="A15" s="3">
        <v>13</v>
      </c>
      <c r="B15" s="128"/>
      <c r="C15" s="128"/>
      <c r="D15" s="129"/>
      <c r="E15" s="130"/>
      <c r="F15" s="130"/>
      <c r="G15" s="125" t="str">
        <f>IF(ISBLANK(D15),"",TRUNC(YEARFRAC(N1,D15)))</f>
        <v/>
      </c>
      <c r="H15" s="131"/>
      <c r="I15" s="52"/>
      <c r="J15" s="130"/>
      <c r="K15" s="140" t="e">
        <f>VLOOKUP(J15,N7:O22,2,FALSE)</f>
        <v>#N/A</v>
      </c>
      <c r="L15" s="141"/>
      <c r="M15" s="142"/>
      <c r="N15" s="35"/>
      <c r="O15" s="27"/>
    </row>
    <row r="16" spans="1:15" x14ac:dyDescent="0.25">
      <c r="A16" s="3">
        <v>14</v>
      </c>
      <c r="B16" s="128"/>
      <c r="C16" s="128"/>
      <c r="D16" s="129"/>
      <c r="E16" s="130"/>
      <c r="F16" s="130"/>
      <c r="G16" s="125" t="str">
        <f>IF(ISBLANK(D16),"",TRUNC(YEARFRAC(N1,D16)))</f>
        <v/>
      </c>
      <c r="H16" s="131"/>
      <c r="I16" s="52"/>
      <c r="J16" s="130"/>
      <c r="K16" s="140" t="e">
        <f>VLOOKUP(J16,N7:O22,2,FALSE)</f>
        <v>#N/A</v>
      </c>
      <c r="L16" s="143"/>
      <c r="M16" s="142"/>
      <c r="N16" s="35" t="s">
        <v>21</v>
      </c>
      <c r="O16" s="27" t="s">
        <v>28</v>
      </c>
    </row>
    <row r="17" spans="1:16" x14ac:dyDescent="0.25">
      <c r="A17" s="3">
        <v>15</v>
      </c>
      <c r="B17" s="128"/>
      <c r="C17" s="128"/>
      <c r="D17" s="129"/>
      <c r="E17" s="130"/>
      <c r="F17" s="130"/>
      <c r="G17" s="125" t="str">
        <f>IF(ISBLANK(D17),"",TRUNC(YEARFRAC(N1,D17)))</f>
        <v/>
      </c>
      <c r="H17" s="131"/>
      <c r="I17" s="52"/>
      <c r="J17" s="130"/>
      <c r="K17" s="140" t="e">
        <f>VLOOKUP(J17,N7:O22,2,FALSE)</f>
        <v>#N/A</v>
      </c>
      <c r="L17" s="143"/>
      <c r="M17" s="142"/>
      <c r="N17" s="35" t="s">
        <v>18</v>
      </c>
      <c r="O17" s="67" t="s">
        <v>58</v>
      </c>
    </row>
    <row r="18" spans="1:16" x14ac:dyDescent="0.25">
      <c r="A18" s="3">
        <v>16</v>
      </c>
      <c r="B18" s="128"/>
      <c r="C18" s="128"/>
      <c r="D18" s="129"/>
      <c r="E18" s="130"/>
      <c r="F18" s="130"/>
      <c r="G18" s="125" t="str">
        <f>IF(ISBLANK(D18),"",TRUNC(YEARFRAC(N1,D18)))</f>
        <v/>
      </c>
      <c r="H18" s="131"/>
      <c r="I18" s="52"/>
      <c r="J18" s="130"/>
      <c r="K18" s="140" t="e">
        <f>VLOOKUP(J18,N7:O22,2,FALSE)</f>
        <v>#N/A</v>
      </c>
      <c r="L18" s="143"/>
      <c r="M18" s="142"/>
      <c r="N18" s="35" t="s">
        <v>44</v>
      </c>
      <c r="O18" s="70" t="s">
        <v>40</v>
      </c>
    </row>
    <row r="19" spans="1:16" x14ac:dyDescent="0.25">
      <c r="A19" s="3">
        <v>17</v>
      </c>
      <c r="B19" s="128"/>
      <c r="C19" s="128"/>
      <c r="D19" s="129"/>
      <c r="E19" s="130"/>
      <c r="F19" s="130"/>
      <c r="G19" s="125" t="str">
        <f>IF(ISBLANK(D19),"",TRUNC(YEARFRAC(N1,D19)))</f>
        <v/>
      </c>
      <c r="H19" s="131"/>
      <c r="I19" s="52"/>
      <c r="J19" s="130"/>
      <c r="K19" s="140" t="e">
        <f>VLOOKUP(J19,N7:O22,2,FALSE)</f>
        <v>#N/A</v>
      </c>
      <c r="L19" s="143"/>
      <c r="M19" s="142"/>
      <c r="N19" s="35"/>
      <c r="O19" s="27" t="s">
        <v>23</v>
      </c>
    </row>
    <row r="20" spans="1:16" x14ac:dyDescent="0.25">
      <c r="A20" s="3">
        <v>18</v>
      </c>
      <c r="B20" s="128"/>
      <c r="C20" s="128"/>
      <c r="D20" s="129"/>
      <c r="E20" s="130"/>
      <c r="F20" s="130"/>
      <c r="G20" s="125" t="str">
        <f>IF(ISBLANK(D20),"",TRUNC(YEARFRAC(N1,D20)))</f>
        <v/>
      </c>
      <c r="H20" s="131"/>
      <c r="I20" s="52"/>
      <c r="J20" s="130"/>
      <c r="K20" s="140" t="e">
        <f>VLOOKUP(J20,N7:O22,2,FALSE)</f>
        <v>#N/A</v>
      </c>
      <c r="L20" s="143"/>
      <c r="M20" s="142"/>
      <c r="N20" s="35"/>
      <c r="O20" s="27" t="s">
        <v>24</v>
      </c>
    </row>
    <row r="21" spans="1:16" x14ac:dyDescent="0.25">
      <c r="A21" s="3">
        <v>19</v>
      </c>
      <c r="B21" s="128"/>
      <c r="C21" s="128"/>
      <c r="D21" s="129"/>
      <c r="E21" s="130"/>
      <c r="F21" s="130"/>
      <c r="G21" s="125" t="str">
        <f>IF(ISBLANK(D21),"",TRUNC(YEARFRAC(N1,D21)))</f>
        <v/>
      </c>
      <c r="H21" s="131"/>
      <c r="I21" s="52"/>
      <c r="J21" s="130"/>
      <c r="K21" s="140" t="e">
        <f>VLOOKUP(J21,N7:O22,2,FALSE)</f>
        <v>#N/A</v>
      </c>
      <c r="L21" s="143"/>
      <c r="M21" s="142"/>
      <c r="N21" s="35"/>
      <c r="O21" s="27" t="s">
        <v>25</v>
      </c>
    </row>
    <row r="22" spans="1:16" x14ac:dyDescent="0.25">
      <c r="A22" s="3">
        <v>20</v>
      </c>
      <c r="B22" s="128"/>
      <c r="C22" s="128"/>
      <c r="D22" s="129"/>
      <c r="E22" s="130"/>
      <c r="F22" s="130"/>
      <c r="G22" s="125" t="str">
        <f>IF(ISBLANK(D22),"",TRUNC(YEARFRAC(N1,D22)))</f>
        <v/>
      </c>
      <c r="H22" s="131"/>
      <c r="I22" s="52"/>
      <c r="J22" s="130"/>
      <c r="K22" s="140" t="e">
        <f>VLOOKUP(J22,N7:O22,2,FALSE)</f>
        <v>#N/A</v>
      </c>
      <c r="L22" s="143"/>
      <c r="M22" s="142"/>
      <c r="N22" s="35"/>
      <c r="O22" s="27" t="s">
        <v>26</v>
      </c>
    </row>
    <row r="23" spans="1:16" s="46" customFormat="1" ht="109.95" customHeight="1" thickBot="1" x14ac:dyDescent="0.25">
      <c r="A23" s="43"/>
      <c r="B23" s="72">
        <f>COUNTA(B3:B22)</f>
        <v>0</v>
      </c>
      <c r="C23" s="72" t="str">
        <f>IF((COUNTA(B3:B22)&lt;12),"Below Minimum Number (ISA By-Law 1032)",IF((COUNTA(B3:B22)&gt;15),"Team number eligible for ISU Championships (ISU Rule 800.2b)","Team number eligible for AFSC and International Competition (ISU Rule 800.2a)"))</f>
        <v>Below Minimum Number (ISA By-Law 1032)</v>
      </c>
      <c r="D23" s="73" t="str">
        <f>IF(COUNTA(B3:B22)&lt;&gt;COUNTA(D3:D22),"Must enter all DOB","All DOB Entered")</f>
        <v>All DOB Entered</v>
      </c>
      <c r="E23" s="74" t="str">
        <f>IF(COUNTA(B3:B22)&gt;COUNTA(E3:E22),"All team members must belong to the same Member(ISA By-Law 1004)","All Member Numbers Entered")</f>
        <v>All Member Numbers Entered</v>
      </c>
      <c r="F23" s="74" t="str">
        <f>IF(COUNTA(B3:B22)&gt;COUNTA(F3:F22),"Must enter all POA","All POA Entered")</f>
        <v>All POA Entered</v>
      </c>
      <c r="G23" s="72" t="str">
        <f>IF((COUNTIF((G3:G22),"&gt;18")&gt;(ROUND(COUNTA(B3:B22)*0.25,0))),"&gt;25% aged over 18. Team ineligible. (ISA Rule 1032)",IF(((COUNTIF(G3:G22,"&lt;13")&gt;0)),"Team ages eligible for AFSC (ISA By-Law 1032) but ineligible for International Competition (CER Article 9.4))",IF(((COUNTIF(G3:G22,"&gt;19")&gt;0)),"Team ages eligible for AFSC (ISA by-Law 1032) but ineligible for International Competition (CER Article 9.4)","Ages correct for Junior International Competition (CER Article 9.4)")))</f>
        <v>Ages correct for Junior International Competition (CER Article 9.4)</v>
      </c>
      <c r="H23" s="72" t="str">
        <f>IF(COUNTIF(H3:H22,"Perm Res")+COUNTIF(H3:H22,"Temp Visa")&gt;((B23-(B23-16))*0.5),"Citizenship incorrect. Excluding alternates, at least 50% must be Australian Citizens (ISA By-Law 1011.3)", IF(COUNTIF(H3:H22,"Temp Visa")&gt;(COUNTA(B3:B22)*0.25),"Citizenship incorrect. Excluding alternates, maximum 25% may not have permanent residency (ISA By-Law 1011.3)", IF(COUNTIF(H3:H22,"Perm Res")+COUNTIF(H3:H22,"Temp Visa")&gt;(COUNTA(B3:B22)*0.25),"Due to citizenship %, Team eligible for AFSC only","Citizenship percentage correct for international competition (CER Article 8.2.4)")))</f>
        <v>Citizenship percentage correct for international competition (CER Article 8.2.4)</v>
      </c>
      <c r="I23" s="75" t="s">
        <v>89</v>
      </c>
      <c r="J23" s="72" t="str">
        <f>IF((COUNTIF((K3:K22),"&lt;2")),"Team ineligible. All members must have passed minimum Elementary Pattern or Dance and 50% must have passed Basic Novice Pattern or Pre-Primary Dance (ISA By-Law 1032)",IF(COUNTIF(K3:K22,"&lt;3")&gt;(ROUND(COUNTA(B3:B22)*0.5,2)),"Team ineligible. All members must have passed minimum Elementary Pattern or Dance and 50% must have passed Basic Novice Pattern or Pre-Primary Dance (ISA By-Law 1032)","Test levels correct. Team eligible."))</f>
        <v>Test levels correct. Team eligible.</v>
      </c>
      <c r="K23" s="72"/>
      <c r="L23" s="74" t="str">
        <f>IF((COUNTIF(L3:L22,"Yes")&gt;0),"Check percentages are correct for all teams","")</f>
        <v/>
      </c>
      <c r="M23" s="119" t="str">
        <f>IF(COUNTA(L3:L22)&gt;COUNTA(M3:M22),"Must give name and division of other team(s).","")</f>
        <v/>
      </c>
      <c r="N23" s="48"/>
      <c r="O23" s="34" t="s">
        <v>27</v>
      </c>
      <c r="P23" s="103"/>
    </row>
    <row r="24" spans="1:16" ht="13.8" thickTop="1" x14ac:dyDescent="0.25">
      <c r="M24" s="11"/>
    </row>
    <row r="25" spans="1:16" x14ac:dyDescent="0.25">
      <c r="A25" s="5" t="s">
        <v>14</v>
      </c>
      <c r="I25"/>
      <c r="K25" s="24"/>
      <c r="L25" s="24"/>
    </row>
    <row r="26" spans="1:16" ht="15" customHeight="1" x14ac:dyDescent="0.25">
      <c r="A26" s="5" t="s">
        <v>42</v>
      </c>
      <c r="D26" s="12"/>
      <c r="E26" s="12"/>
      <c r="F26" s="12"/>
      <c r="G26" s="38"/>
      <c r="H26" s="2" t="s">
        <v>8</v>
      </c>
      <c r="I26" s="40"/>
      <c r="J26" s="12"/>
      <c r="K26" s="25"/>
      <c r="L26" s="25"/>
      <c r="M26" s="12"/>
    </row>
    <row r="27" spans="1:16" s="6" customFormat="1" ht="15" customHeight="1" x14ac:dyDescent="0.25">
      <c r="A27" s="6" t="s">
        <v>43</v>
      </c>
      <c r="D27" s="13"/>
      <c r="E27" s="13"/>
      <c r="F27" s="13"/>
      <c r="G27" s="39"/>
      <c r="H27" s="2" t="s">
        <v>8</v>
      </c>
      <c r="I27" s="41"/>
      <c r="J27" s="13"/>
      <c r="K27" s="26"/>
      <c r="L27" s="26"/>
      <c r="M27" s="13"/>
    </row>
    <row r="28" spans="1:16" ht="15" customHeight="1" x14ac:dyDescent="0.25">
      <c r="A28"/>
      <c r="B28"/>
      <c r="M28" s="6"/>
    </row>
  </sheetData>
  <sheetProtection algorithmName="SHA-512" hashValue="E0Tc2TnMovKtOXjWscRc+wfvTJdF+u0IdDERx1Nj0tvMOOxb5sTElqf6chgPNc26FmmnxVAmhQSBbMfANyuaVw==" saltValue="vi/GhNfwhIyE3j59U5sgqA==" spinCount="100000" sheet="1" selectLockedCells="1" sort="0"/>
  <mergeCells count="1">
    <mergeCell ref="B1:I1"/>
  </mergeCells>
  <phoneticPr fontId="0" type="noConversion"/>
  <conditionalFormatting sqref="B23">
    <cfRule type="cellIs" dxfId="332" priority="56" stopIfTrue="1" operator="greaterThanOrEqual">
      <formula>12</formula>
    </cfRule>
    <cfRule type="cellIs" dxfId="331" priority="55" stopIfTrue="1" operator="lessThan">
      <formula>12</formula>
    </cfRule>
  </conditionalFormatting>
  <conditionalFormatting sqref="C23">
    <cfRule type="cellIs" dxfId="330" priority="58" stopIfTrue="1" operator="notEqual">
      <formula>"Minimum Team Number Met"</formula>
    </cfRule>
    <cfRule type="cellIs" dxfId="329" priority="57" stopIfTrue="1" operator="greaterThanOrEqual">
      <formula>"Minimum Team Number Met"</formula>
    </cfRule>
  </conditionalFormatting>
  <conditionalFormatting sqref="D23">
    <cfRule type="cellIs" dxfId="328" priority="62" stopIfTrue="1" operator="equal">
      <formula>"All DOB Entered"</formula>
    </cfRule>
    <cfRule type="cellIs" dxfId="327" priority="61" stopIfTrue="1" operator="equal">
      <formula>"Must enter all DOB"</formula>
    </cfRule>
  </conditionalFormatting>
  <conditionalFormatting sqref="E23">
    <cfRule type="cellIs" dxfId="326" priority="64" stopIfTrue="1" operator="equal">
      <formula>"All Member Numbers Entered"</formula>
    </cfRule>
    <cfRule type="cellIs" dxfId="325" priority="63" stopIfTrue="1" operator="equal">
      <formula>"All team members must belong to the same Member(ISA By-Law 1052)"</formula>
    </cfRule>
  </conditionalFormatting>
  <conditionalFormatting sqref="F23">
    <cfRule type="cellIs" dxfId="324" priority="66" stopIfTrue="1" operator="equal">
      <formula>"All POA Entered"</formula>
    </cfRule>
    <cfRule type="cellIs" dxfId="323" priority="65" stopIfTrue="1" operator="equal">
      <formula>"Must enter all POA"</formula>
    </cfRule>
  </conditionalFormatting>
  <conditionalFormatting sqref="G3:G22">
    <cfRule type="cellIs" dxfId="322" priority="14" stopIfTrue="1" operator="between">
      <formula>13</formula>
      <formula>18</formula>
    </cfRule>
    <cfRule type="cellIs" dxfId="321" priority="15" stopIfTrue="1" operator="lessThanOrEqual">
      <formula>12</formula>
    </cfRule>
    <cfRule type="cellIs" dxfId="320" priority="16" stopIfTrue="1" operator="greaterThanOrEqual">
      <formula>18</formula>
    </cfRule>
  </conditionalFormatting>
  <conditionalFormatting sqref="G23">
    <cfRule type="cellIs" dxfId="319" priority="36" stopIfTrue="1" operator="equal">
      <formula>"Team ages eligible for AFSC (ISA By-Law 1032) but ineligible for International Competition (CER Article 9.4)"</formula>
    </cfRule>
    <cfRule type="cellIs" dxfId="318" priority="35" stopIfTrue="1" operator="equal">
      <formula>"Ages Correct for Junior International Competition (CER Article 9.4)"</formula>
    </cfRule>
  </conditionalFormatting>
  <conditionalFormatting sqref="H3:H22">
    <cfRule type="cellIs" dxfId="317" priority="2" stopIfTrue="1" operator="equal">
      <formula>"Perm Res"</formula>
    </cfRule>
    <cfRule type="cellIs" dxfId="316" priority="3" stopIfTrue="1" operator="equal">
      <formula>"yes"</formula>
    </cfRule>
    <cfRule type="cellIs" dxfId="315" priority="4" stopIfTrue="1" operator="lessThan">
      <formula>16</formula>
    </cfRule>
    <cfRule type="cellIs" dxfId="314" priority="5" stopIfTrue="1" operator="greaterThanOrEqual">
      <formula>16</formula>
    </cfRule>
    <cfRule type="cellIs" dxfId="313" priority="1" operator="equal">
      <formula>"Temp Visa"</formula>
    </cfRule>
  </conditionalFormatting>
  <conditionalFormatting sqref="H23">
    <cfRule type="cellIs" dxfId="312" priority="6" stopIfTrue="1" operator="equal">
      <formula>"Citizenship incorrect. Excluding alternates, at least 50% must be Australian Citizens (ISA By-Law 1011.3)"</formula>
    </cfRule>
    <cfRule type="cellIs" dxfId="311" priority="9" stopIfTrue="1" operator="equal">
      <formula>"Citizenship percentage correct for international competition (CER Article 8.2.4)"</formula>
    </cfRule>
    <cfRule type="cellIs" dxfId="310" priority="8" stopIfTrue="1" operator="equal">
      <formula>"Due to citizenship %, Team eligible for AFSC only"</formula>
    </cfRule>
    <cfRule type="cellIs" dxfId="309" priority="7" stopIfTrue="1" operator="equal">
      <formula>"Citizenship incorrect. Excluding alternates, maximum 25% may not have permanent residency (ISA By-Law 1011.3)"</formula>
    </cfRule>
  </conditionalFormatting>
  <conditionalFormatting sqref="I3:I22">
    <cfRule type="cellIs" dxfId="308" priority="26" stopIfTrue="1" operator="greaterThanOrEqual">
      <formula>15</formula>
    </cfRule>
    <cfRule type="cellIs" dxfId="307" priority="25" stopIfTrue="1" operator="lessThan">
      <formula>15</formula>
    </cfRule>
    <cfRule type="cellIs" dxfId="306" priority="24" operator="equal">
      <formula>"Application made"</formula>
    </cfRule>
    <cfRule type="cellIs" dxfId="305" priority="23" operator="equal">
      <formula>"No application made"</formula>
    </cfRule>
    <cfRule type="cellIs" dxfId="304" priority="22" operator="equal">
      <formula>"Clearance received"</formula>
    </cfRule>
    <cfRule type="cellIs" dxfId="303" priority="21" operator="equal">
      <formula>"Not required"</formula>
    </cfRule>
    <cfRule type="cellIs" dxfId="302" priority="133" stopIfTrue="1" operator="equal">
      <formula>$N$18</formula>
    </cfRule>
    <cfRule type="cellIs" dxfId="301" priority="134" stopIfTrue="1" operator="equal">
      <formula>$N$17</formula>
    </cfRule>
    <cfRule type="cellIs" dxfId="300" priority="135" stopIfTrue="1" operator="equal">
      <formula>$N$16</formula>
    </cfRule>
  </conditionalFormatting>
  <conditionalFormatting sqref="I23 G23">
    <cfRule type="cellIs" dxfId="299" priority="73" stopIfTrue="1" operator="equal">
      <formula>"&gt;25% aged over 18. Team ineligible. (ISA Rule 1032)"</formula>
    </cfRule>
  </conditionalFormatting>
  <conditionalFormatting sqref="I23">
    <cfRule type="cellIs" dxfId="298" priority="51" stopIfTrue="1" operator="equal">
      <formula>"ISU Member or ISA Permission Required"</formula>
    </cfRule>
  </conditionalFormatting>
  <conditionalFormatting sqref="J23">
    <cfRule type="cellIs" dxfId="297" priority="77" stopIfTrue="1" operator="equal">
      <formula>"Test levels correct. Team eligible."</formula>
    </cfRule>
    <cfRule type="cellIs" dxfId="296" priority="78" stopIfTrue="1" operator="notEqual">
      <formula>"Test levels correct. Team eligible."</formula>
    </cfRule>
  </conditionalFormatting>
  <conditionalFormatting sqref="M23">
    <cfRule type="cellIs" dxfId="295" priority="30" stopIfTrue="1" operator="equal">
      <formula>"Must give name and division of other team(s)."</formula>
    </cfRule>
    <cfRule type="cellIs" dxfId="294" priority="67" stopIfTrue="1" operator="equal">
      <formula>"Team eligible for International Competition"</formula>
    </cfRule>
    <cfRule type="cellIs" dxfId="293" priority="68" stopIfTrue="1" operator="equal">
      <formula>"Team Composition Eligible for AFSC Only (ISA Rule 1046.1)"</formula>
    </cfRule>
    <cfRule type="cellIs" dxfId="292" priority="69" stopIfTrue="1" operator="equal">
      <formula>"Team Composition Ineligible (ISA Rule 1046.1)"</formula>
    </cfRule>
  </conditionalFormatting>
  <dataValidations xWindow="779" yWindow="317" count="9">
    <dataValidation type="list" allowBlank="1" showInputMessage="1" showErrorMessage="1" prompt="Yes_x000a_Permanent Resident_x000a_Temporary Visa_x000a_" sqref="H3:H22" xr:uid="{00000000-0002-0000-0200-000001000000}">
      <formula1>$N$3:$N$5</formula1>
    </dataValidation>
    <dataValidation type="date" allowBlank="1" showInputMessage="1" showErrorMessage="1" prompt="dd/mm/yyyy" sqref="D3:D22" xr:uid="{00000000-0002-0000-0200-000002000000}">
      <formula1>1</formula1>
      <formula2>73051</formula2>
    </dataValidation>
    <dataValidation allowBlank="1" showInputMessage="1" showErrorMessage="1" prompt="yyyy_x000a_" sqref="N1" xr:uid="{F9C9D946-31FD-43CA-9CC2-D73C5B83625F}"/>
    <dataValidation allowBlank="1" showInputMessage="1" showErrorMessage="1" prompt="Give team names and divisions S, J, N, A or O in brackets_x000a_Eg Knightmoves (S)" sqref="M4:M22" xr:uid="{00000000-0002-0000-0200-000006000000}"/>
    <dataValidation allowBlank="1" showInputMessage="1" showErrorMessage="1" prompt="Give team names and divisions S, J, AN, BN, A or M in brackets_x000a_Eg Knightmoves (S)" sqref="M3" xr:uid="{00000000-0002-0000-0200-000007000000}"/>
    <dataValidation type="list" allowBlank="1" showInputMessage="1" showErrorMessage="1" prompt="Put Yes or leave blank if No." sqref="L3:L22" xr:uid="{00000000-0002-0000-0200-000008000000}">
      <formula1>$N$3</formula1>
    </dataValidation>
    <dataValidation type="list" allowBlank="1" showInputMessage="1" showErrorMessage="1" prompt="Choose highest level or equivalant_x000a_" sqref="J3:J22" xr:uid="{00000000-0002-0000-0200-000004000000}">
      <formula1>$N$7:$N$14</formula1>
    </dataValidation>
    <dataValidation type="list" allowBlank="1" showInputMessage="1" showErrorMessage="1" sqref="I3:I22" xr:uid="{00000000-0002-0000-0200-000009000000}">
      <formula1>$N$16:$N$19</formula1>
    </dataValidation>
    <dataValidation type="list" allowBlank="1" showInputMessage="1" showErrorMessage="1" sqref="K1 M1" xr:uid="{00000000-0002-0000-0200-000005000000}">
      <formula1>$O$16:$O$23</formula1>
    </dataValidation>
  </dataValidations>
  <printOptions horizontalCentered="1" verticalCentered="1"/>
  <pageMargins left="0.35433070866141736" right="0.27559055118110237" top="1.2204724409448819" bottom="0.27559055118110237" header="0.27559055118110237" footer="0.15748031496062992"/>
  <pageSetup paperSize="9" scale="81" orientation="landscape" horizontalDpi="4294967293" verticalDpi="4294967293" r:id="rId1"/>
  <headerFooter alignWithMargins="0">
    <oddHeader>&amp;L&amp;G&amp;C&amp;"Arial,Bold"&amp;12  Ice Skating Australia Limited
Affiliated to the International Skating Union
Synchronized Skating
Form Document: &amp;F&amp;R&amp;"Arial,Bold"&amp;12&amp;A</oddHeader>
    <oddFooter>&amp;C&amp;D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5C62-D9D8-44BB-B7FB-4BE35ACC129C}">
  <sheetPr>
    <tabColor rgb="FFFFC000"/>
    <pageSetUpPr fitToPage="1"/>
  </sheetPr>
  <dimension ref="A1:O29"/>
  <sheetViews>
    <sheetView zoomScale="85" zoomScaleNormal="85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D3" sqref="D3"/>
    </sheetView>
  </sheetViews>
  <sheetFormatPr defaultRowHeight="13.2" x14ac:dyDescent="0.25"/>
  <cols>
    <col min="1" max="1" width="5.6640625" style="4" customWidth="1"/>
    <col min="2" max="2" width="18.6640625" style="4" customWidth="1"/>
    <col min="3" max="3" width="18.6640625" customWidth="1"/>
    <col min="4" max="8" width="11.6640625" customWidth="1"/>
    <col min="9" max="9" width="18.6640625" customWidth="1"/>
    <col min="10" max="10" width="24.6640625" customWidth="1"/>
    <col min="11" max="11" width="10.33203125" style="24" hidden="1" customWidth="1"/>
    <col min="12" max="12" width="11.6640625" style="24" customWidth="1"/>
    <col min="13" max="13" width="18.6640625" customWidth="1"/>
    <col min="14" max="14" width="34.33203125" hidden="1" customWidth="1"/>
    <col min="15" max="15" width="8.88671875" hidden="1" customWidth="1"/>
    <col min="16" max="16" width="8.88671875" customWidth="1"/>
  </cols>
  <sheetData>
    <row r="1" spans="1:15" s="2" customFormat="1" ht="14.4" thickTop="1" thickBot="1" x14ac:dyDescent="0.3">
      <c r="A1" s="60" t="s">
        <v>6</v>
      </c>
      <c r="B1" s="239"/>
      <c r="C1" s="240"/>
      <c r="D1" s="240"/>
      <c r="E1" s="240"/>
      <c r="F1" s="240"/>
      <c r="G1" s="240"/>
      <c r="H1" s="240"/>
      <c r="I1" s="241"/>
      <c r="J1" s="112" t="s">
        <v>88</v>
      </c>
      <c r="K1" s="171"/>
      <c r="L1" s="115" t="s">
        <v>57</v>
      </c>
      <c r="M1" s="117"/>
      <c r="N1" s="69">
        <v>46203</v>
      </c>
    </row>
    <row r="2" spans="1:15" s="47" customFormat="1" ht="51" customHeight="1" x14ac:dyDescent="0.2">
      <c r="A2" s="57"/>
      <c r="B2" s="58" t="s">
        <v>70</v>
      </c>
      <c r="C2" s="58" t="s">
        <v>49</v>
      </c>
      <c r="D2" s="58" t="s">
        <v>12</v>
      </c>
      <c r="E2" s="58" t="s">
        <v>13</v>
      </c>
      <c r="F2" s="58" t="s">
        <v>11</v>
      </c>
      <c r="G2" s="58" t="s">
        <v>46</v>
      </c>
      <c r="H2" s="58" t="s">
        <v>66</v>
      </c>
      <c r="I2" s="59" t="s">
        <v>17</v>
      </c>
      <c r="J2" s="58" t="s">
        <v>45</v>
      </c>
      <c r="K2" s="58" t="s">
        <v>39</v>
      </c>
      <c r="L2" s="64" t="s">
        <v>47</v>
      </c>
      <c r="M2" s="107" t="s">
        <v>48</v>
      </c>
      <c r="N2" s="68"/>
    </row>
    <row r="3" spans="1:15" s="4" customFormat="1" x14ac:dyDescent="0.25">
      <c r="A3" s="3">
        <v>1</v>
      </c>
      <c r="B3" s="122"/>
      <c r="C3" s="122"/>
      <c r="D3" s="123"/>
      <c r="E3" s="124"/>
      <c r="F3" s="124"/>
      <c r="G3" s="125" t="str">
        <f>IF(ISBLANK(D3),"",TRUNC(YEARFRAC(N1,D3)))</f>
        <v/>
      </c>
      <c r="H3" s="126"/>
      <c r="I3" s="51"/>
      <c r="J3" s="124"/>
      <c r="K3" s="124" t="e">
        <f>VLOOKUP(J3,N7:O14,2,FALSE)</f>
        <v>#N/A</v>
      </c>
      <c r="L3" s="124"/>
      <c r="M3" s="134"/>
      <c r="N3" s="4" t="s">
        <v>7</v>
      </c>
    </row>
    <row r="4" spans="1:15" x14ac:dyDescent="0.25">
      <c r="A4" s="3">
        <v>2</v>
      </c>
      <c r="B4" s="122"/>
      <c r="C4" s="122"/>
      <c r="D4" s="123"/>
      <c r="E4" s="124"/>
      <c r="F4" s="124"/>
      <c r="G4" s="125" t="str">
        <f>IF(ISBLANK(D4),"",TRUNC(YEARFRAC(N1,D4)))</f>
        <v/>
      </c>
      <c r="H4" s="126"/>
      <c r="I4" s="51"/>
      <c r="J4" s="124"/>
      <c r="K4" s="124" t="e">
        <f>VLOOKUP(J4,N7:O14,2,FALSE)</f>
        <v>#N/A</v>
      </c>
      <c r="L4" s="124"/>
      <c r="M4" s="134"/>
      <c r="N4" s="101" t="s">
        <v>64</v>
      </c>
    </row>
    <row r="5" spans="1:15" x14ac:dyDescent="0.25">
      <c r="A5" s="3">
        <v>3</v>
      </c>
      <c r="B5" s="122"/>
      <c r="C5" s="122"/>
      <c r="D5" s="123"/>
      <c r="E5" s="124"/>
      <c r="F5" s="124"/>
      <c r="G5" s="125" t="str">
        <f>IF(ISBLANK(D5),"",TRUNC(YEARFRAC(N1,D5)))</f>
        <v/>
      </c>
      <c r="H5" s="126"/>
      <c r="I5" s="51"/>
      <c r="J5" s="124"/>
      <c r="K5" s="124" t="e">
        <f>VLOOKUP(J5,N7:O14,2,FALSE)</f>
        <v>#N/A</v>
      </c>
      <c r="L5" s="124"/>
      <c r="M5" s="134"/>
      <c r="N5" s="101" t="s">
        <v>65</v>
      </c>
    </row>
    <row r="6" spans="1:15" x14ac:dyDescent="0.25">
      <c r="A6" s="3">
        <v>4</v>
      </c>
      <c r="B6" s="122"/>
      <c r="C6" s="122"/>
      <c r="D6" s="123"/>
      <c r="E6" s="124"/>
      <c r="F6" s="124"/>
      <c r="G6" s="125" t="str">
        <f>IF(ISBLANK(D6),"",TRUNC(YEARFRAC(N1,D6)))</f>
        <v/>
      </c>
      <c r="H6" s="126"/>
      <c r="I6" s="51"/>
      <c r="J6" s="124"/>
      <c r="K6" s="124" t="e">
        <f>VLOOKUP(J6,N7:O14,2,FALSE)</f>
        <v>#N/A</v>
      </c>
      <c r="L6" s="124"/>
      <c r="M6" s="134"/>
      <c r="N6" s="6" t="s">
        <v>19</v>
      </c>
      <c r="O6" s="23" t="s">
        <v>20</v>
      </c>
    </row>
    <row r="7" spans="1:15" x14ac:dyDescent="0.25">
      <c r="A7" s="3">
        <v>5</v>
      </c>
      <c r="B7" s="122"/>
      <c r="C7" s="122"/>
      <c r="D7" s="123"/>
      <c r="E7" s="124"/>
      <c r="F7" s="124"/>
      <c r="G7" s="125" t="str">
        <f>IF(ISBLANK(D7),"",TRUNC(YEARFRAC(N1,D7)))</f>
        <v/>
      </c>
      <c r="H7" s="126"/>
      <c r="I7" s="51"/>
      <c r="J7" s="124"/>
      <c r="K7" s="124" t="e">
        <f>VLOOKUP(J7,N7:O14,2,FALSE)</f>
        <v>#N/A</v>
      </c>
      <c r="L7" s="124"/>
      <c r="M7" s="134"/>
      <c r="N7" t="s">
        <v>16</v>
      </c>
      <c r="O7" s="27">
        <v>0</v>
      </c>
    </row>
    <row r="8" spans="1:15" x14ac:dyDescent="0.25">
      <c r="A8" s="3">
        <v>6</v>
      </c>
      <c r="B8" s="122"/>
      <c r="C8" s="122"/>
      <c r="D8" s="123"/>
      <c r="E8" s="124"/>
      <c r="F8" s="124"/>
      <c r="G8" s="125" t="str">
        <f>IF(ISBLANK(D8),"",TRUNC(YEARFRAC(N1,D8)))</f>
        <v/>
      </c>
      <c r="H8" s="126"/>
      <c r="I8" s="51"/>
      <c r="J8" s="124"/>
      <c r="K8" s="124" t="e">
        <f>VLOOKUP(J8,N7:O14,2,FALSE)</f>
        <v>#N/A</v>
      </c>
      <c r="L8" s="124"/>
      <c r="M8" s="134"/>
      <c r="N8" s="35" t="s">
        <v>78</v>
      </c>
      <c r="O8" s="27">
        <v>1</v>
      </c>
    </row>
    <row r="9" spans="1:15" x14ac:dyDescent="0.25">
      <c r="A9" s="3">
        <v>7</v>
      </c>
      <c r="B9" s="122"/>
      <c r="C9" s="122"/>
      <c r="D9" s="123"/>
      <c r="E9" s="124"/>
      <c r="F9" s="124"/>
      <c r="G9" s="125" t="str">
        <f>IF(ISBLANK(D9),"",TRUNC(YEARFRAC(N1,D9)))</f>
        <v/>
      </c>
      <c r="H9" s="126"/>
      <c r="I9" s="51"/>
      <c r="J9" s="124"/>
      <c r="K9" s="124" t="e">
        <f>VLOOKUP(J9,N7:O14,2,FALSE)</f>
        <v>#N/A</v>
      </c>
      <c r="L9" s="124"/>
      <c r="M9" s="134"/>
      <c r="N9" t="s">
        <v>79</v>
      </c>
      <c r="O9" s="27">
        <v>2</v>
      </c>
    </row>
    <row r="10" spans="1:15" x14ac:dyDescent="0.25">
      <c r="A10" s="3">
        <v>8</v>
      </c>
      <c r="B10" s="122"/>
      <c r="C10" s="122"/>
      <c r="D10" s="123"/>
      <c r="E10" s="124"/>
      <c r="F10" s="124"/>
      <c r="G10" s="125" t="str">
        <f>IF(ISBLANK(D10),"",TRUNC(YEARFRAC(N1,D10)))</f>
        <v/>
      </c>
      <c r="H10" s="126"/>
      <c r="I10" s="51"/>
      <c r="J10" s="124"/>
      <c r="K10" s="124" t="e">
        <f>VLOOKUP(J10,N7:O14,2,FALSE)</f>
        <v>#N/A</v>
      </c>
      <c r="L10" s="124"/>
      <c r="M10" s="134"/>
      <c r="N10" s="35" t="s">
        <v>80</v>
      </c>
      <c r="O10" s="27">
        <v>3</v>
      </c>
    </row>
    <row r="11" spans="1:15" x14ac:dyDescent="0.25">
      <c r="A11" s="3">
        <v>9</v>
      </c>
      <c r="B11" s="122"/>
      <c r="C11" s="122"/>
      <c r="D11" s="123"/>
      <c r="E11" s="124"/>
      <c r="F11" s="124"/>
      <c r="G11" s="125" t="str">
        <f>IF(ISBLANK(D11),"",TRUNC(YEARFRAC(N1,D11)))</f>
        <v/>
      </c>
      <c r="H11" s="126"/>
      <c r="I11" s="51"/>
      <c r="J11" s="124"/>
      <c r="K11" s="124" t="e">
        <f>VLOOKUP(J11,N7:O14,2,FALSE)</f>
        <v>#N/A</v>
      </c>
      <c r="L11" s="124"/>
      <c r="M11" s="134"/>
      <c r="N11" s="35" t="s">
        <v>81</v>
      </c>
      <c r="O11" s="27">
        <v>4</v>
      </c>
    </row>
    <row r="12" spans="1:15" x14ac:dyDescent="0.25">
      <c r="A12" s="3">
        <v>10</v>
      </c>
      <c r="B12" s="128"/>
      <c r="C12" s="128"/>
      <c r="D12" s="129"/>
      <c r="E12" s="130"/>
      <c r="F12" s="130"/>
      <c r="G12" s="125" t="str">
        <f>IF(ISBLANK(D12),"",TRUNC(YEARFRAC(N1,D12)))</f>
        <v/>
      </c>
      <c r="H12" s="131"/>
      <c r="I12" s="52"/>
      <c r="J12" s="130"/>
      <c r="K12" s="130" t="e">
        <f>VLOOKUP(J12,N7:O14,2,FALSE)</f>
        <v>#N/A</v>
      </c>
      <c r="L12" s="130"/>
      <c r="M12" s="136"/>
      <c r="N12" s="35" t="s">
        <v>82</v>
      </c>
      <c r="O12" s="27">
        <v>5</v>
      </c>
    </row>
    <row r="13" spans="1:15" x14ac:dyDescent="0.25">
      <c r="A13" s="3"/>
      <c r="B13" s="190"/>
      <c r="C13" s="190"/>
      <c r="D13" s="191"/>
      <c r="E13" s="192"/>
      <c r="F13" s="192"/>
      <c r="G13" s="193" t="str">
        <f>IF(ISBLANK(D13),"",TRUNC(YEARFRAC(N1,D13)))</f>
        <v/>
      </c>
      <c r="H13" s="194"/>
      <c r="I13" s="195"/>
      <c r="J13" s="192"/>
      <c r="K13" s="192" t="e">
        <f>VLOOKUP(J13,N7:O14,2,FALSE)</f>
        <v>#N/A</v>
      </c>
      <c r="L13" s="192"/>
      <c r="M13" s="196"/>
      <c r="N13" s="35" t="s">
        <v>83</v>
      </c>
      <c r="O13" s="27">
        <v>6</v>
      </c>
    </row>
    <row r="14" spans="1:15" x14ac:dyDescent="0.25">
      <c r="A14" s="3"/>
      <c r="B14" s="190"/>
      <c r="C14" s="190"/>
      <c r="D14" s="191"/>
      <c r="E14" s="192"/>
      <c r="F14" s="192"/>
      <c r="G14" s="193" t="str">
        <f>IF(ISBLANK(D14),"",TRUNC(YEARFRAC(N1,D14)))</f>
        <v/>
      </c>
      <c r="H14" s="194"/>
      <c r="I14" s="195"/>
      <c r="J14" s="192"/>
      <c r="K14" s="192" t="e">
        <f>VLOOKUP(J14,N7:O14,2,FALSE)</f>
        <v>#N/A</v>
      </c>
      <c r="L14" s="192"/>
      <c r="M14" s="196"/>
      <c r="N14" s="35" t="s">
        <v>84</v>
      </c>
      <c r="O14" s="27">
        <v>7</v>
      </c>
    </row>
    <row r="15" spans="1:15" x14ac:dyDescent="0.25">
      <c r="A15" s="3"/>
      <c r="B15" s="190"/>
      <c r="C15" s="190"/>
      <c r="D15" s="191"/>
      <c r="E15" s="192"/>
      <c r="F15" s="192"/>
      <c r="G15" s="193" t="str">
        <f>IF(ISBLANK(D15),"",TRUNC(YEARFRAC(N1,D15)))</f>
        <v/>
      </c>
      <c r="H15" s="194"/>
      <c r="I15" s="195"/>
      <c r="J15" s="192"/>
      <c r="K15" s="192" t="e">
        <f>VLOOKUP(J15,N7:O14,2,FALSE)</f>
        <v>#N/A</v>
      </c>
      <c r="L15" s="192"/>
      <c r="M15" s="197"/>
    </row>
    <row r="16" spans="1:15" x14ac:dyDescent="0.25">
      <c r="A16" s="3"/>
      <c r="B16" s="190"/>
      <c r="C16" s="190"/>
      <c r="D16" s="191"/>
      <c r="E16" s="192"/>
      <c r="F16" s="192"/>
      <c r="G16" s="193" t="str">
        <f>IF(ISBLANK(D16),"",TRUNC(YEARFRAC(N1,D16)))</f>
        <v/>
      </c>
      <c r="H16" s="194"/>
      <c r="I16" s="195"/>
      <c r="J16" s="192"/>
      <c r="K16" s="192" t="e">
        <f>VLOOKUP(J16,N7:O14,2,FALSE)</f>
        <v>#N/A</v>
      </c>
      <c r="L16" s="192"/>
      <c r="M16" s="196"/>
      <c r="N16" t="s">
        <v>21</v>
      </c>
      <c r="O16" t="s">
        <v>28</v>
      </c>
    </row>
    <row r="17" spans="1:15" x14ac:dyDescent="0.25">
      <c r="A17" s="3"/>
      <c r="B17" s="190"/>
      <c r="C17" s="190"/>
      <c r="D17" s="191"/>
      <c r="E17" s="192"/>
      <c r="F17" s="192"/>
      <c r="G17" s="193" t="str">
        <f>IF(ISBLANK(D17),"",TRUNC(YEARFRAC(N1,D17)))</f>
        <v/>
      </c>
      <c r="H17" s="194"/>
      <c r="I17" s="195"/>
      <c r="J17" s="192"/>
      <c r="K17" s="192" t="e">
        <f>VLOOKUP(J17,N7:O14,2,FALSE)</f>
        <v>#N/A</v>
      </c>
      <c r="L17" s="192"/>
      <c r="M17" s="196"/>
      <c r="N17" t="s">
        <v>18</v>
      </c>
      <c r="O17" s="35" t="s">
        <v>58</v>
      </c>
    </row>
    <row r="18" spans="1:15" x14ac:dyDescent="0.25">
      <c r="A18" s="3"/>
      <c r="B18" s="190"/>
      <c r="C18" s="190"/>
      <c r="D18" s="191"/>
      <c r="E18" s="192"/>
      <c r="F18" s="192"/>
      <c r="G18" s="193" t="str">
        <f>IF(ISBLANK(D18),"",TRUNC(YEARFRAC(N1,D18)))</f>
        <v/>
      </c>
      <c r="H18" s="194"/>
      <c r="I18" s="195"/>
      <c r="J18" s="192"/>
      <c r="K18" s="192" t="e">
        <f>VLOOKUP(J18,N7:O14,2,FALSE)</f>
        <v>#N/A</v>
      </c>
      <c r="L18" s="192"/>
      <c r="M18" s="196"/>
      <c r="N18" s="35" t="s">
        <v>44</v>
      </c>
      <c r="O18" s="28" t="s">
        <v>40</v>
      </c>
    </row>
    <row r="19" spans="1:15" x14ac:dyDescent="0.25">
      <c r="A19" s="170"/>
      <c r="B19" s="198"/>
      <c r="C19" s="198"/>
      <c r="D19" s="199"/>
      <c r="E19" s="200"/>
      <c r="F19" s="200"/>
      <c r="G19" s="201" t="str">
        <f>IF(ISBLANK(D19),"",TRUNC(YEARFRAC(N1,D19)))</f>
        <v/>
      </c>
      <c r="H19" s="202"/>
      <c r="I19" s="203"/>
      <c r="J19" s="200"/>
      <c r="K19" s="200" t="e">
        <f>VLOOKUP(J19,N7:O14,2,FALSE)</f>
        <v>#N/A</v>
      </c>
      <c r="L19" s="200"/>
      <c r="M19" s="204"/>
      <c r="N19" s="35"/>
      <c r="O19" t="s">
        <v>23</v>
      </c>
    </row>
    <row r="20" spans="1:15" x14ac:dyDescent="0.25">
      <c r="A20" s="170"/>
      <c r="B20" s="198"/>
      <c r="C20" s="198"/>
      <c r="D20" s="199"/>
      <c r="E20" s="200"/>
      <c r="F20" s="200"/>
      <c r="G20" s="201" t="str">
        <f>IF(ISBLANK(D20),"",TRUNC(YEARFRAC(N1,D20)))</f>
        <v/>
      </c>
      <c r="H20" s="202"/>
      <c r="I20" s="203"/>
      <c r="J20" s="200"/>
      <c r="K20" s="200" t="e">
        <f>VLOOKUP(J20,N7:O14,2,FALSE)</f>
        <v>#N/A</v>
      </c>
      <c r="L20" s="200"/>
      <c r="M20" s="204"/>
      <c r="O20" t="s">
        <v>24</v>
      </c>
    </row>
    <row r="21" spans="1:15" x14ac:dyDescent="0.25">
      <c r="A21" s="170"/>
      <c r="B21" s="198"/>
      <c r="C21" s="198"/>
      <c r="D21" s="199"/>
      <c r="E21" s="200"/>
      <c r="F21" s="200"/>
      <c r="G21" s="201" t="str">
        <f>IF(ISBLANK(D21),"",TRUNC(YEARFRAC(N1,D21)))</f>
        <v/>
      </c>
      <c r="H21" s="202"/>
      <c r="I21" s="203"/>
      <c r="J21" s="200"/>
      <c r="K21" s="200" t="e">
        <f>VLOOKUP(J21,N7:O14,2,FALSE)</f>
        <v>#N/A</v>
      </c>
      <c r="L21" s="200"/>
      <c r="M21" s="204"/>
      <c r="O21" t="s">
        <v>25</v>
      </c>
    </row>
    <row r="22" spans="1:15" x14ac:dyDescent="0.25">
      <c r="A22" s="170"/>
      <c r="B22" s="198"/>
      <c r="C22" s="198"/>
      <c r="D22" s="199"/>
      <c r="E22" s="200"/>
      <c r="F22" s="200"/>
      <c r="G22" s="201" t="str">
        <f>IF(ISBLANK(D22),"",TRUNC(YEARFRAC(N1,D22)))</f>
        <v/>
      </c>
      <c r="H22" s="202"/>
      <c r="I22" s="203"/>
      <c r="J22" s="200"/>
      <c r="K22" s="200" t="e">
        <f>VLOOKUP(J22,N7:O14,2,FALSE)</f>
        <v>#N/A</v>
      </c>
      <c r="L22" s="200"/>
      <c r="M22" s="204"/>
      <c r="N22" s="45"/>
      <c r="O22" t="s">
        <v>26</v>
      </c>
    </row>
    <row r="23" spans="1:15" s="46" customFormat="1" ht="109.95" customHeight="1" thickBot="1" x14ac:dyDescent="0.3">
      <c r="A23" s="43"/>
      <c r="B23" s="72">
        <f>COUNTA(B3:B22)</f>
        <v>0</v>
      </c>
      <c r="C23" s="72" t="str">
        <f>IF((COUNTA(B3:B22)&lt;9),"Below Minimum Number (ISA Rule 1039)","Minimum Team Number Met (ISA Rule 1039)")</f>
        <v>Below Minimum Number (ISA Rule 1039)</v>
      </c>
      <c r="D23" s="73" t="str">
        <f>IF(COUNTA(B3:B22)&lt;&gt;COUNTA(D3:D22),"Must enter all DOB","All DOB Entered")</f>
        <v>All DOB Entered</v>
      </c>
      <c r="E23" s="74" t="str">
        <f>IF(COUNTA(B3:B22)&gt;COUNTA(E3:E22),"All team members must belong to the same Member(ISA By-Law 1004)","All Member Numbers Entered")</f>
        <v>All Member Numbers Entered</v>
      </c>
      <c r="F23" s="74" t="str">
        <f>IF(COUNTA(B3:B22)&gt;COUNTA(F3:F22),"Must enter all POA","All POA Entered")</f>
        <v>All POA Entered</v>
      </c>
      <c r="G23" s="72" t="str">
        <f>IF((COUNTIF((G3:G22),"&gt;18")&gt;0),"Ages incorrect. Team ineligible. (CER Article 9.4)",IF((COUNTIF(G3:G22,"&lt;13")&gt;0),"Ages incorrect. Team ineligible. (CER Article 9.4)","Ages correct for Junior9 Competition (CER Article 9.4)"))</f>
        <v>Ages correct for Junior9 Competition (CER Article 9.4)</v>
      </c>
      <c r="H23" s="72" t="str">
        <f>IF(COUNTIF(H3:H22,"Perm Res")+COUNTIF(H3:H22,"Temp Visa")&gt;((B23-(B23-16))*0.5),"Citizenship incorrect. Excluding alternates, at least 50% must be Australian Citizens (ISA By-Law 1011.3)", IF(COUNTIF(H3:H22,"Temp Visa")&gt;(COUNTA(B3:B22)*0.25),"Citizenship incorrect. Excluding alternates, maximum 25% may not have permanent residency (ISA By-Law 1011.3)", IF(COUNTIF(H3:H22,"Perm Res")+COUNTIF(H3:H22,"Temp Visa")&gt;(COUNTA(B3:B22)*0.25),"Due to citizenship %, Team eligible for AFSC only","Citizenship percentage correct for international competition (CER Article 8.2.4)")))</f>
        <v>Citizenship percentage correct for international competition (CER Article 8.2.4)</v>
      </c>
      <c r="I23" s="75" t="s">
        <v>89</v>
      </c>
      <c r="J23" s="72" t="str">
        <f>IF((COUNTIF((K3:K22),"&lt;3")),"Team ineligible. All members must have passed minimum Basic Novice Pattern or Pre-Primary Dance (ISA By-Law 1031)","Test levels correct. Team eligible")</f>
        <v>Test levels correct. Team eligible</v>
      </c>
      <c r="K23" s="72"/>
      <c r="L23" s="75" t="str">
        <f>IF((COUNTIF(L3:L22,"Yes")&gt;0),"Check percentages are correct for all teams","")</f>
        <v/>
      </c>
      <c r="M23" s="114" t="str">
        <f>IF(COUNTA(L3:L22)&gt;COUNTA(M3:M22),"Must give name and division of other team(s).","")</f>
        <v/>
      </c>
      <c r="N23" s="116"/>
      <c r="O23" s="34" t="s">
        <v>27</v>
      </c>
    </row>
    <row r="24" spans="1:15" ht="13.8" thickTop="1" x14ac:dyDescent="0.25"/>
    <row r="25" spans="1:15" x14ac:dyDescent="0.25">
      <c r="A25" s="5" t="s">
        <v>14</v>
      </c>
    </row>
    <row r="26" spans="1:15" ht="15" customHeight="1" x14ac:dyDescent="0.25">
      <c r="A26" s="5" t="s">
        <v>42</v>
      </c>
      <c r="D26" s="12"/>
      <c r="E26" s="12"/>
      <c r="F26" s="12"/>
      <c r="G26" s="38"/>
      <c r="H26" s="2" t="s">
        <v>8</v>
      </c>
      <c r="I26" s="40"/>
      <c r="J26" s="12"/>
      <c r="K26" s="25"/>
      <c r="L26" s="25"/>
      <c r="M26" s="12"/>
    </row>
    <row r="27" spans="1:15" s="6" customFormat="1" ht="15" customHeight="1" x14ac:dyDescent="0.25">
      <c r="A27" s="6" t="s">
        <v>43</v>
      </c>
      <c r="D27" s="13"/>
      <c r="E27" s="13"/>
      <c r="F27" s="13"/>
      <c r="G27" s="39"/>
      <c r="H27" s="2" t="s">
        <v>8</v>
      </c>
      <c r="I27" s="41"/>
      <c r="J27" s="13"/>
      <c r="K27" s="26"/>
      <c r="L27" s="26"/>
      <c r="M27" s="13"/>
      <c r="O27"/>
    </row>
    <row r="28" spans="1:15" ht="15" customHeight="1" x14ac:dyDescent="0.25">
      <c r="A28"/>
      <c r="B28"/>
      <c r="O28" s="6"/>
    </row>
    <row r="29" spans="1:15" ht="15" customHeight="1" x14ac:dyDescent="0.25">
      <c r="A29"/>
      <c r="B29"/>
    </row>
  </sheetData>
  <sheetProtection algorithmName="SHA-512" hashValue="Xax+eUZN/OJ6Qh+6xeKMjyBNwwh8irSRSxWouQxoUY1w/E0O4Z4Sq+Y02s+ScgClfM1tDybj/L4DH9FuaOZZ3Q==" saltValue="EkS1+dgSigj8pW31mFZA9g==" spinCount="100000" sheet="1" selectLockedCells="1" sort="0"/>
  <mergeCells count="1">
    <mergeCell ref="B1:I1"/>
  </mergeCells>
  <conditionalFormatting sqref="B23">
    <cfRule type="cellIs" dxfId="291" priority="21" stopIfTrue="1" operator="greaterThanOrEqual">
      <formula>9</formula>
    </cfRule>
    <cfRule type="cellIs" dxfId="290" priority="20" stopIfTrue="1" operator="lessThan">
      <formula>9</formula>
    </cfRule>
  </conditionalFormatting>
  <conditionalFormatting sqref="C23">
    <cfRule type="cellIs" dxfId="289" priority="15" operator="equal">
      <formula>"Minimum Team Number Met (ISA By-Law 1039)"</formula>
    </cfRule>
    <cfRule type="cellIs" dxfId="288" priority="23" stopIfTrue="1" operator="notEqual">
      <formula>"Minimum Team Number Met"</formula>
    </cfRule>
    <cfRule type="cellIs" dxfId="287" priority="22" stopIfTrue="1" operator="greaterThanOrEqual">
      <formula>"Minimum Team Number Met"</formula>
    </cfRule>
  </conditionalFormatting>
  <conditionalFormatting sqref="D23">
    <cfRule type="cellIs" dxfId="286" priority="27" stopIfTrue="1" operator="equal">
      <formula>"All DOB Entered"</formula>
    </cfRule>
    <cfRule type="cellIs" dxfId="285" priority="26" stopIfTrue="1" operator="equal">
      <formula>"Must enter all DOB"</formula>
    </cfRule>
  </conditionalFormatting>
  <conditionalFormatting sqref="E23">
    <cfRule type="cellIs" dxfId="284" priority="29" stopIfTrue="1" operator="equal">
      <formula>"All Member Numbers Entered"</formula>
    </cfRule>
    <cfRule type="cellIs" dxfId="283" priority="28" stopIfTrue="1" operator="equal">
      <formula>"All team members must belong to the same Member(ISA By-Law 1052)"</formula>
    </cfRule>
  </conditionalFormatting>
  <conditionalFormatting sqref="F23">
    <cfRule type="cellIs" dxfId="282" priority="30" stopIfTrue="1" operator="equal">
      <formula>"Must enter all POA"</formula>
    </cfRule>
    <cfRule type="cellIs" dxfId="281" priority="31" stopIfTrue="1" operator="equal">
      <formula>"All POA Entered"</formula>
    </cfRule>
  </conditionalFormatting>
  <conditionalFormatting sqref="G3:G22">
    <cfRule type="cellIs" dxfId="280" priority="1" operator="between">
      <formula>13</formula>
      <formula>18</formula>
    </cfRule>
  </conditionalFormatting>
  <conditionalFormatting sqref="G23 I23">
    <cfRule type="cellIs" dxfId="279" priority="37" stopIfTrue="1" operator="equal">
      <formula>"Ages Correct for Junior9 Competition (CER Article 9.4)"</formula>
    </cfRule>
  </conditionalFormatting>
  <conditionalFormatting sqref="G3:I22">
    <cfRule type="cellIs" dxfId="278" priority="32" stopIfTrue="1" operator="lessThan">
      <formula>13</formula>
    </cfRule>
    <cfRule type="cellIs" dxfId="277" priority="33" stopIfTrue="1" operator="greaterThanOrEqual">
      <formula>18</formula>
    </cfRule>
  </conditionalFormatting>
  <conditionalFormatting sqref="H3:H18">
    <cfRule type="cellIs" dxfId="276" priority="6" operator="equal">
      <formula>"Temp Visa"</formula>
    </cfRule>
  </conditionalFormatting>
  <conditionalFormatting sqref="H3:H22">
    <cfRule type="cellIs" dxfId="275" priority="18" stopIfTrue="1" operator="equal">
      <formula>"yes"</formula>
    </cfRule>
    <cfRule type="cellIs" dxfId="274" priority="17" stopIfTrue="1" operator="equal">
      <formula>"Perm Res"</formula>
    </cfRule>
  </conditionalFormatting>
  <conditionalFormatting sqref="H23">
    <cfRule type="cellIs" dxfId="273" priority="2" stopIfTrue="1" operator="equal">
      <formula>"Citizenship incorrect. Excluding alternates, at least 50% must be Australian Citizens (ISA By-Law 1011.3)"</formula>
    </cfRule>
    <cfRule type="cellIs" dxfId="272" priority="3" stopIfTrue="1" operator="equal">
      <formula>"Citizenship incorrect. Excluding alternates, maximum 25% may not have permanent residency (ISA By-Law 1011.3)"</formula>
    </cfRule>
    <cfRule type="cellIs" dxfId="271" priority="4" stopIfTrue="1" operator="equal">
      <formula>"Due to citizenship %, Team eligible for AFSC only"</formula>
    </cfRule>
    <cfRule type="cellIs" dxfId="270" priority="5" stopIfTrue="1" operator="equal">
      <formula>"Citizenship percentage correct for international competition (CER Article 8.2.4)"</formula>
    </cfRule>
  </conditionalFormatting>
  <conditionalFormatting sqref="I3:I22">
    <cfRule type="cellIs" dxfId="269" priority="14" operator="equal">
      <formula>"Application made"</formula>
    </cfRule>
    <cfRule type="cellIs" dxfId="268" priority="13" operator="equal">
      <formula>"No application made"</formula>
    </cfRule>
    <cfRule type="cellIs" dxfId="267" priority="12" operator="equal">
      <formula>"Clearance received"</formula>
    </cfRule>
    <cfRule type="cellIs" dxfId="266" priority="11" operator="equal">
      <formula>"Not required"</formula>
    </cfRule>
    <cfRule type="cellIs" dxfId="265" priority="38" stopIfTrue="1" operator="equal">
      <formula>$N$18</formula>
    </cfRule>
    <cfRule type="cellIs" dxfId="264" priority="39" stopIfTrue="1" operator="equal">
      <formula>$N$17</formula>
    </cfRule>
    <cfRule type="cellIs" dxfId="263" priority="40" stopIfTrue="1" operator="equal">
      <formula>$N$16</formula>
    </cfRule>
  </conditionalFormatting>
  <conditionalFormatting sqref="I23 G23">
    <cfRule type="cellIs" dxfId="262" priority="36" stopIfTrue="1" operator="equal">
      <formula>"Ages incorrect. Team ineligible. (CER Article 9.4)"</formula>
    </cfRule>
  </conditionalFormatting>
  <conditionalFormatting sqref="I23">
    <cfRule type="cellIs" dxfId="261" priority="19" stopIfTrue="1" operator="equal">
      <formula>"ISU Member or ISA Permission Required"</formula>
    </cfRule>
  </conditionalFormatting>
  <conditionalFormatting sqref="J23">
    <cfRule type="cellIs" dxfId="260" priority="34" stopIfTrue="1" operator="equal">
      <formula>"Test Levels Correct. Team Eligible"</formula>
    </cfRule>
    <cfRule type="cellIs" dxfId="259" priority="35" stopIfTrue="1" operator="notEqual">
      <formula>"Test Levels Correct. Team Eligible"</formula>
    </cfRule>
  </conditionalFormatting>
  <conditionalFormatting sqref="K23">
    <cfRule type="cellIs" dxfId="258" priority="24" stopIfTrue="1" operator="equal">
      <formula>"Minimum 75% must have passed (ISA Rule 1049)"</formula>
    </cfRule>
    <cfRule type="cellIs" dxfId="257" priority="25" stopIfTrue="1" operator="notEqual">
      <formula>"Minimum 75% must have passed"</formula>
    </cfRule>
  </conditionalFormatting>
  <conditionalFormatting sqref="M23">
    <cfRule type="cellIs" dxfId="256" priority="16" stopIfTrue="1" operator="equal">
      <formula>"Must give name and division of other team(s)."</formula>
    </cfRule>
  </conditionalFormatting>
  <conditionalFormatting sqref="N23">
    <cfRule type="cellIs" dxfId="255" priority="7" stopIfTrue="1" operator="equal">
      <formula>"Citizenship incorrect. Excluding alternates, at least 50% must be Australian Citizens (ISA By-Law 1011.3)"</formula>
    </cfRule>
    <cfRule type="cellIs" dxfId="254" priority="8" stopIfTrue="1" operator="equal">
      <formula>"Citizenship incorrect. Excluding alternates, maximum 25% may not have permanent residency (ISA By-Law 1011.3)"</formula>
    </cfRule>
    <cfRule type="cellIs" dxfId="253" priority="9" stopIfTrue="1" operator="equal">
      <formula>"Citizenship Correct for AUS only (ISA By-Law 1011.3)"</formula>
    </cfRule>
    <cfRule type="cellIs" dxfId="252" priority="10" stopIfTrue="1" operator="equal">
      <formula>"Citizenship percentage correct for international competition (ISU Rule 109.2d)"</formula>
    </cfRule>
  </conditionalFormatting>
  <dataValidations count="9">
    <dataValidation type="list" allowBlank="1" showInputMessage="1" showErrorMessage="1" prompt="Yes_x000a_Permanent Resident_x000a_Temporary Visa_x000a_" sqref="H3:H18" xr:uid="{BEDCB107-5E1E-45F2-8745-75A61BFDE5CF}">
      <formula1>$N$3:$N$5</formula1>
    </dataValidation>
    <dataValidation allowBlank="1" showInputMessage="1" showErrorMessage="1" prompt="Give team names and divisions S, J, AN, BN, A or M in brackets_x000a_Eg Knightmoves (S)" sqref="M3:M22" xr:uid="{6128A290-EBC1-41E0-A4A9-79D42A994CE9}"/>
    <dataValidation type="date" allowBlank="1" showInputMessage="1" showErrorMessage="1" prompt="dd/mm/yyyy" sqref="D3:D22" xr:uid="{95F5A2D8-AF58-4F68-A2FE-1F9C54402996}">
      <formula1>1</formula1>
      <formula2>73051</formula2>
    </dataValidation>
    <dataValidation allowBlank="1" showInputMessage="1" showErrorMessage="1" prompt="yyyy_x000a_" sqref="N1" xr:uid="{61823BF9-B963-48D3-98F6-123C0173731C}"/>
    <dataValidation type="list" allowBlank="1" showInputMessage="1" showErrorMessage="1" prompt="Yes/No_x000a_" sqref="H19:H22" xr:uid="{616E568D-A088-45B9-AAF5-E1B09BF33012}">
      <formula1>$N$3:$N$4</formula1>
    </dataValidation>
    <dataValidation type="list" allowBlank="1" showInputMessage="1" showErrorMessage="1" prompt="Put Yes or leave blank if No." sqref="L3:L22" xr:uid="{7FBC4C04-9CF0-4B4A-B879-ABDE83809BA7}">
      <formula1>$N$3</formula1>
    </dataValidation>
    <dataValidation type="list" allowBlank="1" showInputMessage="1" showErrorMessage="1" prompt="Choose highest level or equivalant_x000a_" sqref="J3:J22" xr:uid="{CA2A8228-99D7-4931-A2A0-C6822E08F6EA}">
      <formula1>$N$7:$N$14</formula1>
    </dataValidation>
    <dataValidation type="list" allowBlank="1" showInputMessage="1" showErrorMessage="1" prompt="If not Australian citizen, clearance application must be lodged. NO EXCEPTIONS." sqref="I3:I22" xr:uid="{491B9AF1-CF70-4920-88C2-682F4C85B7EF}">
      <formula1>$N$16:$N$19</formula1>
    </dataValidation>
    <dataValidation type="list" allowBlank="1" showInputMessage="1" showErrorMessage="1" sqref="K1 M1" xr:uid="{F0945FC0-C2D1-4A5D-BA9B-0FB5AA9FCB18}">
      <formula1>$O$16:$O$23</formula1>
    </dataValidation>
  </dataValidations>
  <printOptions horizontalCentered="1" verticalCentered="1"/>
  <pageMargins left="0.35433070866141736" right="0.27559055118110237" top="1.2204724409448819" bottom="0.27559055118110237" header="0.27559055118110237" footer="0.15748031496062992"/>
  <pageSetup paperSize="9" scale="81" orientation="landscape" horizontalDpi="4294967293" verticalDpi="4294967293" r:id="rId1"/>
  <headerFooter alignWithMargins="0">
    <oddHeader>&amp;L&amp;G&amp;C&amp;"Arial,Bold"&amp;12  Ice Skating Australia Limited
Affiliated to the International Skating Union
Synchronized Skating
Form Document: &amp;F&amp;R&amp;"Arial,Bold"&amp;12&amp;A</oddHeader>
    <oddFooter>&amp;C&amp;D</oddFoot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  <pageSetUpPr fitToPage="1"/>
  </sheetPr>
  <dimension ref="A1:R27"/>
  <sheetViews>
    <sheetView zoomScale="85" zoomScaleNormal="85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B3" sqref="B3"/>
    </sheetView>
  </sheetViews>
  <sheetFormatPr defaultRowHeight="13.2" x14ac:dyDescent="0.25"/>
  <cols>
    <col min="1" max="1" width="5.6640625" style="4" customWidth="1"/>
    <col min="2" max="2" width="18.6640625" style="4" customWidth="1"/>
    <col min="3" max="3" width="18.6640625" customWidth="1"/>
    <col min="4" max="4" width="11.44140625" bestFit="1" customWidth="1"/>
    <col min="5" max="8" width="11.6640625" customWidth="1"/>
    <col min="9" max="9" width="18.6640625" customWidth="1"/>
    <col min="10" max="10" width="24.6640625" customWidth="1"/>
    <col min="11" max="11" width="12" hidden="1" customWidth="1"/>
    <col min="12" max="12" width="11.6640625" customWidth="1"/>
    <col min="13" max="13" width="18.6640625" customWidth="1"/>
    <col min="14" max="14" width="30.33203125" hidden="1" customWidth="1"/>
    <col min="15" max="15" width="8.88671875" hidden="1" customWidth="1"/>
    <col min="16" max="16" width="9" customWidth="1"/>
  </cols>
  <sheetData>
    <row r="1" spans="1:18" s="2" customFormat="1" ht="14.4" thickTop="1" thickBot="1" x14ac:dyDescent="0.3">
      <c r="A1" s="60" t="s">
        <v>6</v>
      </c>
      <c r="B1" s="244"/>
      <c r="C1" s="245"/>
      <c r="D1" s="245"/>
      <c r="E1" s="245"/>
      <c r="F1" s="245"/>
      <c r="G1" s="245"/>
      <c r="H1" s="245"/>
      <c r="I1" s="245"/>
      <c r="J1" s="61" t="s">
        <v>88</v>
      </c>
      <c r="K1" s="63"/>
      <c r="L1" s="61" t="s">
        <v>57</v>
      </c>
      <c r="M1" s="106"/>
      <c r="N1" s="109">
        <v>46203</v>
      </c>
    </row>
    <row r="2" spans="1:18" s="47" customFormat="1" ht="51" customHeight="1" x14ac:dyDescent="0.25">
      <c r="A2" s="57"/>
      <c r="B2" s="58" t="s">
        <v>70</v>
      </c>
      <c r="C2" s="58" t="s">
        <v>49</v>
      </c>
      <c r="D2" s="58" t="s">
        <v>12</v>
      </c>
      <c r="E2" s="58" t="s">
        <v>13</v>
      </c>
      <c r="F2" s="58" t="s">
        <v>11</v>
      </c>
      <c r="G2" s="58" t="s">
        <v>46</v>
      </c>
      <c r="H2" s="58" t="s">
        <v>66</v>
      </c>
      <c r="I2" s="59" t="s">
        <v>17</v>
      </c>
      <c r="J2" s="58" t="s">
        <v>45</v>
      </c>
      <c r="K2" s="59" t="s">
        <v>39</v>
      </c>
      <c r="L2" s="64" t="s">
        <v>47</v>
      </c>
      <c r="M2" s="107" t="s">
        <v>48</v>
      </c>
      <c r="N2" s="104"/>
      <c r="Q2" s="56"/>
    </row>
    <row r="3" spans="1:18" s="4" customFormat="1" x14ac:dyDescent="0.25">
      <c r="A3" s="3">
        <v>1</v>
      </c>
      <c r="B3" s="122"/>
      <c r="C3" s="122"/>
      <c r="D3" s="123"/>
      <c r="E3" s="124"/>
      <c r="F3" s="124"/>
      <c r="G3" s="125" t="str">
        <f>IF(ISBLANK(D3),"",TRUNC(YEARFRAC(N1,D3)))</f>
        <v/>
      </c>
      <c r="H3" s="144"/>
      <c r="I3" s="51"/>
      <c r="J3" s="124"/>
      <c r="K3" s="124" t="e">
        <f>VLOOKUP(J3,N7:O14,2,FALSE)</f>
        <v>#N/A</v>
      </c>
      <c r="L3" s="124"/>
      <c r="M3" s="134"/>
      <c r="N3" s="4" t="s">
        <v>7</v>
      </c>
    </row>
    <row r="4" spans="1:18" x14ac:dyDescent="0.25">
      <c r="A4" s="3">
        <v>2</v>
      </c>
      <c r="B4" s="122"/>
      <c r="C4" s="122"/>
      <c r="D4" s="123"/>
      <c r="E4" s="124"/>
      <c r="F4" s="124"/>
      <c r="G4" s="125" t="str">
        <f>IF(ISBLANK(D4),"",TRUNC(YEARFRAC(N1,D4)))</f>
        <v/>
      </c>
      <c r="H4" s="144"/>
      <c r="I4" s="51"/>
      <c r="J4" s="124"/>
      <c r="K4" s="124" t="e">
        <f>VLOOKUP(J4,N7:O14,2,FALSE)</f>
        <v>#N/A</v>
      </c>
      <c r="L4" s="124"/>
      <c r="M4" s="134"/>
      <c r="N4" s="101" t="s">
        <v>64</v>
      </c>
      <c r="R4" s="67" t="str">
        <f>G3</f>
        <v/>
      </c>
    </row>
    <row r="5" spans="1:18" x14ac:dyDescent="0.25">
      <c r="A5" s="3">
        <v>3</v>
      </c>
      <c r="B5" s="122"/>
      <c r="C5" s="122"/>
      <c r="D5" s="123"/>
      <c r="E5" s="124"/>
      <c r="F5" s="124"/>
      <c r="G5" s="125" t="str">
        <f>IF(ISBLANK(D5),"",TRUNC(YEARFRAC(N1,D5)))</f>
        <v/>
      </c>
      <c r="H5" s="144"/>
      <c r="I5" s="51"/>
      <c r="J5" s="124"/>
      <c r="K5" s="124" t="e">
        <f>VLOOKUP(J5,N7:O14,2,FALSE)</f>
        <v>#N/A</v>
      </c>
      <c r="L5" s="124"/>
      <c r="M5" s="134"/>
      <c r="N5" s="101" t="s">
        <v>65</v>
      </c>
      <c r="R5" s="35"/>
    </row>
    <row r="6" spans="1:18" x14ac:dyDescent="0.25">
      <c r="A6" s="3">
        <v>4</v>
      </c>
      <c r="B6" s="122"/>
      <c r="C6" s="122"/>
      <c r="D6" s="123"/>
      <c r="E6" s="124"/>
      <c r="F6" s="124"/>
      <c r="G6" s="125" t="str">
        <f>IF(ISBLANK(D6),"",TRUNC(YEARFRAC(N1,D6)))</f>
        <v/>
      </c>
      <c r="H6" s="144"/>
      <c r="I6" s="51"/>
      <c r="J6" s="124"/>
      <c r="K6" s="124" t="e">
        <f>VLOOKUP(J6,N7:O14,2,FALSE)</f>
        <v>#N/A</v>
      </c>
      <c r="L6" s="124"/>
      <c r="M6" s="134"/>
      <c r="N6" s="6" t="s">
        <v>19</v>
      </c>
      <c r="O6" s="23" t="s">
        <v>20</v>
      </c>
    </row>
    <row r="7" spans="1:18" x14ac:dyDescent="0.25">
      <c r="A7" s="3">
        <v>5</v>
      </c>
      <c r="B7" s="122"/>
      <c r="C7" s="122"/>
      <c r="D7" s="123"/>
      <c r="E7" s="124"/>
      <c r="F7" s="124"/>
      <c r="G7" s="125" t="str">
        <f>IF(ISBLANK(D7),"",TRUNC(YEARFRAC(N1,D7)))</f>
        <v/>
      </c>
      <c r="H7" s="144"/>
      <c r="I7" s="51"/>
      <c r="J7" s="124"/>
      <c r="K7" s="124" t="e">
        <f>VLOOKUP(J7,N7:O14,2,FALSE)</f>
        <v>#N/A</v>
      </c>
      <c r="L7" s="124"/>
      <c r="M7" s="134"/>
      <c r="N7" t="s">
        <v>16</v>
      </c>
      <c r="O7" s="27">
        <v>0</v>
      </c>
    </row>
    <row r="8" spans="1:18" x14ac:dyDescent="0.25">
      <c r="A8" s="3">
        <v>6</v>
      </c>
      <c r="B8" s="122"/>
      <c r="C8" s="122"/>
      <c r="D8" s="123"/>
      <c r="E8" s="124"/>
      <c r="F8" s="124"/>
      <c r="G8" s="125" t="str">
        <f>IF(ISBLANK(D8),"",TRUNC(YEARFRAC(N1,D8)))</f>
        <v/>
      </c>
      <c r="H8" s="144"/>
      <c r="I8" s="51"/>
      <c r="J8" s="124"/>
      <c r="K8" s="124" t="e">
        <f>VLOOKUP(J8,N7:O14,2,FALSE)</f>
        <v>#N/A</v>
      </c>
      <c r="L8" s="124"/>
      <c r="M8" s="134"/>
      <c r="N8" s="35" t="s">
        <v>78</v>
      </c>
      <c r="O8" s="27">
        <v>1</v>
      </c>
    </row>
    <row r="9" spans="1:18" x14ac:dyDescent="0.25">
      <c r="A9" s="3">
        <v>7</v>
      </c>
      <c r="B9" s="122"/>
      <c r="C9" s="122"/>
      <c r="D9" s="123"/>
      <c r="E9" s="124"/>
      <c r="F9" s="124"/>
      <c r="G9" s="125" t="str">
        <f>IF(ISBLANK(D9),"",TRUNC(YEARFRAC(N1,D9)))</f>
        <v/>
      </c>
      <c r="H9" s="144"/>
      <c r="I9" s="51"/>
      <c r="J9" s="124"/>
      <c r="K9" s="124" t="e">
        <f>VLOOKUP(J9,N7:O14,2,FALSE)</f>
        <v>#N/A</v>
      </c>
      <c r="L9" s="124"/>
      <c r="M9" s="134"/>
      <c r="N9" t="s">
        <v>79</v>
      </c>
      <c r="O9" s="27">
        <v>2</v>
      </c>
    </row>
    <row r="10" spans="1:18" x14ac:dyDescent="0.25">
      <c r="A10" s="3">
        <v>8</v>
      </c>
      <c r="B10" s="122"/>
      <c r="C10" s="122"/>
      <c r="D10" s="123"/>
      <c r="E10" s="124"/>
      <c r="F10" s="124"/>
      <c r="G10" s="125" t="str">
        <f>IF(ISBLANK(D10),"",TRUNC(YEARFRAC(N1,D10)))</f>
        <v/>
      </c>
      <c r="H10" s="144"/>
      <c r="I10" s="51"/>
      <c r="J10" s="124"/>
      <c r="K10" s="124" t="e">
        <f>VLOOKUP(J10,N7:O14,2,FALSE)</f>
        <v>#N/A</v>
      </c>
      <c r="L10" s="124"/>
      <c r="M10" s="134"/>
      <c r="N10" s="35" t="s">
        <v>80</v>
      </c>
      <c r="O10" s="27">
        <v>3</v>
      </c>
    </row>
    <row r="11" spans="1:18" x14ac:dyDescent="0.25">
      <c r="A11" s="3">
        <v>9</v>
      </c>
      <c r="B11" s="122"/>
      <c r="C11" s="122"/>
      <c r="D11" s="123"/>
      <c r="E11" s="124"/>
      <c r="F11" s="124"/>
      <c r="G11" s="125" t="str">
        <f>IF(ISBLANK(D11),"",TRUNC(YEARFRAC(N1,D11)))</f>
        <v/>
      </c>
      <c r="H11" s="144"/>
      <c r="I11" s="51"/>
      <c r="J11" s="124"/>
      <c r="K11" s="124" t="e">
        <f>VLOOKUP(J11,N7:O14,2,FALSE)</f>
        <v>#N/A</v>
      </c>
      <c r="L11" s="124"/>
      <c r="M11" s="134"/>
      <c r="N11" s="35" t="s">
        <v>81</v>
      </c>
      <c r="O11" s="27">
        <v>4</v>
      </c>
    </row>
    <row r="12" spans="1:18" x14ac:dyDescent="0.25">
      <c r="A12" s="3">
        <v>10</v>
      </c>
      <c r="B12" s="128"/>
      <c r="C12" s="128"/>
      <c r="D12" s="129"/>
      <c r="E12" s="130"/>
      <c r="F12" s="130"/>
      <c r="G12" s="125" t="str">
        <f>IF(ISBLANK(D12),"",TRUNC(YEARFRAC(N1,D12)))</f>
        <v/>
      </c>
      <c r="H12" s="186"/>
      <c r="I12" s="52"/>
      <c r="J12" s="130"/>
      <c r="K12" s="130" t="e">
        <f>VLOOKUP(J12,N7:O14,2,FALSE)</f>
        <v>#N/A</v>
      </c>
      <c r="L12" s="130"/>
      <c r="M12" s="136"/>
      <c r="N12" s="35" t="s">
        <v>82</v>
      </c>
      <c r="O12" s="27">
        <v>5</v>
      </c>
    </row>
    <row r="13" spans="1:18" x14ac:dyDescent="0.25">
      <c r="A13" s="3">
        <v>11</v>
      </c>
      <c r="B13" s="128"/>
      <c r="C13" s="128"/>
      <c r="D13" s="129"/>
      <c r="E13" s="130"/>
      <c r="F13" s="130"/>
      <c r="G13" s="125" t="str">
        <f>IF(ISBLANK(D13),"",TRUNC(YEARFRAC(N1,D13)))</f>
        <v/>
      </c>
      <c r="H13" s="186"/>
      <c r="I13" s="52"/>
      <c r="J13" s="130"/>
      <c r="K13" s="130" t="e">
        <f>VLOOKUP(J13,N7:O14,2,FALSE)</f>
        <v>#N/A</v>
      </c>
      <c r="L13" s="130"/>
      <c r="M13" s="136"/>
      <c r="N13" s="35" t="s">
        <v>83</v>
      </c>
      <c r="O13" s="27">
        <v>6</v>
      </c>
    </row>
    <row r="14" spans="1:18" x14ac:dyDescent="0.25">
      <c r="A14" s="3">
        <v>12</v>
      </c>
      <c r="B14" s="128"/>
      <c r="C14" s="128"/>
      <c r="D14" s="129"/>
      <c r="E14" s="130"/>
      <c r="F14" s="130"/>
      <c r="G14" s="125" t="str">
        <f>IF(ISBLANK(D14),"",TRUNC(YEARFRAC(N1,D14)))</f>
        <v/>
      </c>
      <c r="H14" s="186"/>
      <c r="I14" s="52"/>
      <c r="J14" s="130"/>
      <c r="K14" s="130" t="e">
        <f>VLOOKUP(J14,N7:O14,2,FALSE)</f>
        <v>#N/A</v>
      </c>
      <c r="L14" s="130"/>
      <c r="M14" s="136"/>
      <c r="N14" s="35" t="s">
        <v>84</v>
      </c>
      <c r="O14" s="27">
        <v>7</v>
      </c>
    </row>
    <row r="15" spans="1:18" x14ac:dyDescent="0.25">
      <c r="A15" s="3">
        <v>13</v>
      </c>
      <c r="B15" s="128"/>
      <c r="C15" s="128"/>
      <c r="D15" s="129"/>
      <c r="E15" s="130"/>
      <c r="F15" s="130"/>
      <c r="G15" s="125" t="str">
        <f>IF(ISBLANK(D15),"",TRUNC(YEARFRAC(N1,D15)))</f>
        <v/>
      </c>
      <c r="H15" s="131"/>
      <c r="I15" s="52"/>
      <c r="J15" s="145"/>
      <c r="K15" s="130" t="e">
        <f>VLOOKUP(J15,N7:O14,2,FALSE)</f>
        <v>#N/A</v>
      </c>
      <c r="L15" s="130"/>
      <c r="M15" s="135"/>
    </row>
    <row r="16" spans="1:18" x14ac:dyDescent="0.25">
      <c r="A16" s="3">
        <v>14</v>
      </c>
      <c r="B16" s="128"/>
      <c r="C16" s="128"/>
      <c r="D16" s="129"/>
      <c r="E16" s="130"/>
      <c r="F16" s="130"/>
      <c r="G16" s="125" t="str">
        <f>IF(ISBLANK(D16),"",TRUNC(YEARFRAC(N1,D16)))</f>
        <v/>
      </c>
      <c r="H16" s="131"/>
      <c r="I16" s="52"/>
      <c r="J16" s="145"/>
      <c r="K16" s="130" t="e">
        <f>VLOOKUP(J16,N7:O14,2,FALSE)</f>
        <v>#N/A</v>
      </c>
      <c r="L16" s="130"/>
      <c r="M16" s="136"/>
      <c r="N16" t="s">
        <v>21</v>
      </c>
      <c r="O16" t="s">
        <v>28</v>
      </c>
    </row>
    <row r="17" spans="1:15" x14ac:dyDescent="0.25">
      <c r="A17" s="3">
        <v>15</v>
      </c>
      <c r="B17" s="128"/>
      <c r="C17" s="128"/>
      <c r="D17" s="129"/>
      <c r="E17" s="130"/>
      <c r="F17" s="130"/>
      <c r="G17" s="125" t="str">
        <f>IF(ISBLANK(D17),"",TRUNC(YEARFRAC(N1,D17)))</f>
        <v/>
      </c>
      <c r="H17" s="131"/>
      <c r="I17" s="52"/>
      <c r="J17" s="145"/>
      <c r="K17" s="130" t="e">
        <f>VLOOKUP(J17,N7:O14,2,FALSE)</f>
        <v>#N/A</v>
      </c>
      <c r="L17" s="130"/>
      <c r="M17" s="136"/>
      <c r="N17" t="s">
        <v>18</v>
      </c>
      <c r="O17" s="35" t="s">
        <v>58</v>
      </c>
    </row>
    <row r="18" spans="1:15" x14ac:dyDescent="0.25">
      <c r="A18" s="3">
        <v>16</v>
      </c>
      <c r="B18" s="128"/>
      <c r="C18" s="128"/>
      <c r="D18" s="129"/>
      <c r="E18" s="130"/>
      <c r="F18" s="130"/>
      <c r="G18" s="125" t="str">
        <f>IF(ISBLANK(D18),"",TRUNC(YEARFRAC(N1,D18)))</f>
        <v/>
      </c>
      <c r="H18" s="131"/>
      <c r="I18" s="52"/>
      <c r="J18" s="145"/>
      <c r="K18" s="130" t="e">
        <f>VLOOKUP(J18,N7:O14,2,FALSE)</f>
        <v>#N/A</v>
      </c>
      <c r="L18" s="130"/>
      <c r="M18" s="136"/>
      <c r="N18" s="35" t="s">
        <v>44</v>
      </c>
      <c r="O18" s="34" t="s">
        <v>40</v>
      </c>
    </row>
    <row r="19" spans="1:15" x14ac:dyDescent="0.25">
      <c r="A19" s="3">
        <v>17</v>
      </c>
      <c r="B19" s="128"/>
      <c r="C19" s="128"/>
      <c r="D19" s="129"/>
      <c r="E19" s="130"/>
      <c r="F19" s="130"/>
      <c r="G19" s="125" t="str">
        <f>IF(ISBLANK(D19),"",TRUNC(YEARFRAC(N1,D19)))</f>
        <v/>
      </c>
      <c r="H19" s="131"/>
      <c r="I19" s="52"/>
      <c r="J19" s="145"/>
      <c r="K19" s="130" t="e">
        <f>VLOOKUP(J19,N7:O14,2,FALSE)</f>
        <v>#N/A</v>
      </c>
      <c r="L19" s="130"/>
      <c r="M19" s="136"/>
      <c r="N19" s="35"/>
      <c r="O19" t="s">
        <v>23</v>
      </c>
    </row>
    <row r="20" spans="1:15" x14ac:dyDescent="0.25">
      <c r="A20" s="3">
        <v>18</v>
      </c>
      <c r="B20" s="128"/>
      <c r="C20" s="128"/>
      <c r="D20" s="129"/>
      <c r="E20" s="130"/>
      <c r="F20" s="130"/>
      <c r="G20" s="125" t="str">
        <f>IF(ISBLANK(D20),"",TRUNC(YEARFRAC(N1,D20)))</f>
        <v/>
      </c>
      <c r="H20" s="131"/>
      <c r="I20" s="52"/>
      <c r="J20" s="145"/>
      <c r="K20" s="130" t="e">
        <f>VLOOKUP(J20,N7:O14,2,FALSE)</f>
        <v>#N/A</v>
      </c>
      <c r="L20" s="130"/>
      <c r="M20" s="136"/>
      <c r="O20" t="s">
        <v>24</v>
      </c>
    </row>
    <row r="21" spans="1:15" x14ac:dyDescent="0.25">
      <c r="A21" s="3">
        <v>19</v>
      </c>
      <c r="B21" s="128"/>
      <c r="C21" s="128"/>
      <c r="D21" s="129"/>
      <c r="E21" s="130"/>
      <c r="F21" s="130"/>
      <c r="G21" s="125" t="str">
        <f>IF(ISBLANK(D21),"",TRUNC(YEARFRAC(N1,D21)))</f>
        <v/>
      </c>
      <c r="H21" s="131"/>
      <c r="I21" s="52"/>
      <c r="J21" s="145"/>
      <c r="K21" s="130" t="e">
        <f>VLOOKUP(J21,N7:O14,2,FALSE)</f>
        <v>#N/A</v>
      </c>
      <c r="L21" s="130"/>
      <c r="M21" s="136"/>
      <c r="O21" t="s">
        <v>25</v>
      </c>
    </row>
    <row r="22" spans="1:15" x14ac:dyDescent="0.25">
      <c r="A22" s="3">
        <v>20</v>
      </c>
      <c r="B22" s="128"/>
      <c r="C22" s="128"/>
      <c r="D22" s="129"/>
      <c r="E22" s="130"/>
      <c r="F22" s="130"/>
      <c r="G22" s="125" t="str">
        <f>IF(ISBLANK(D22),"",TRUNC(YEARFRAC(N1,D22)))</f>
        <v/>
      </c>
      <c r="H22" s="131"/>
      <c r="I22" s="52"/>
      <c r="J22" s="145"/>
      <c r="K22" s="130" t="e">
        <f>VLOOKUP(J22,N7:O14,2,FALSE)</f>
        <v>#N/A</v>
      </c>
      <c r="L22" s="130"/>
      <c r="M22" s="136"/>
      <c r="N22" s="48"/>
      <c r="O22" t="s">
        <v>26</v>
      </c>
    </row>
    <row r="23" spans="1:15" s="46" customFormat="1" ht="109.95" customHeight="1" thickBot="1" x14ac:dyDescent="0.3">
      <c r="A23" s="43"/>
      <c r="B23" s="72">
        <f>COUNTA(B3:B22)</f>
        <v>0</v>
      </c>
      <c r="C23" s="72" t="str">
        <f>IF((COUNTA(B3:B22)&lt;9),"Below Minimum Number (ISA By-Law 1033)",IF((COUNTA(B3:B22)&gt;15),"Team number eligible for International Competition (ISU Rule 800.2a)","Minimum Team Number Met for AFSC Only(ISA By-Law 1033)"))</f>
        <v>Below Minimum Number (ISA By-Law 1033)</v>
      </c>
      <c r="D23" s="73" t="str">
        <f>IF(COUNTA(B3:B22)&lt;&gt;COUNTA(D3:D22),"Must enter all DOB","All DOB Entered")</f>
        <v>All DOB Entered</v>
      </c>
      <c r="E23" s="74" t="str">
        <f>IF(COUNTA(B3:B22)&lt;&gt;COUNTA(E3:E22),"All team members must belong to the same Member(ISA By-Law 1004)","All Member Numbers Entered")</f>
        <v>All Member Numbers Entered</v>
      </c>
      <c r="F23" s="74" t="str">
        <f>IF(COUNTA(B3:B22)&lt;&gt;COUNTA(F3:F22),"Must enter all POA","All POA Entered")</f>
        <v>All POA Entered</v>
      </c>
      <c r="G23" s="72" t="str">
        <f>IF(COUNTIF((G3:G22),"&gt;17")&gt;0,"Ages Incorrect. Team Ineligible to enter. (ISA By-Law 1033)",IF((COUNTIF((G3:G22),"&gt;15")&gt;(ROUND(COUNTA(B3:B22)*0.25,0))),"&gt;25% aged over 15. Team ineligible. (ISA By-Law 1033)",(IF(COUNTIF(G3:G22,"&lt;10")&gt;0,"Team eligible for AFSC but ineligible for International Competition (CER Article 9.4)",IF(COUNTIF(G3:G22,"&gt;15")&gt;0,"Team eligible for AFSC but ineligible for International Competition (CER Article 9.4)","Ages correct for Novice International Competition (CER Article 9.4)")))))</f>
        <v>Ages correct for Novice International Competition (CER Article 9.4)</v>
      </c>
      <c r="H23" s="72" t="str">
        <f>IF(COUNTIF(H3:H22,"Perm Res")+COUNTIF(H3:H22,"Temp Visa")&gt;((B23-(B23-16))*0.5),"Citizenship incorrect. Excluding alternates, at least 50% must be Australian Citizens (ISA By-Law 1011.3)", IF(COUNTIF(H3:H22,"Temp Visa")&gt;(COUNTA(B3:B22)*0.25),"Citizenship incorrect. Excluding alternates, maximum 25% may not have permanent residency (ISA By-Law 1011.3)", IF(COUNTIF(H3:H22,"Perm Res")+COUNTIF(H3:H22,"Temp Visa")&gt;(COUNTA(B3:B22)*0.25),"Due to citizenship %, Team eligible for AFSC only","Citizenship percentage correct for international competition (CER Article 8.2.4)")))</f>
        <v>Citizenship percentage correct for international competition (CER Article 8.2.4)</v>
      </c>
      <c r="I23" s="74" t="s">
        <v>89</v>
      </c>
      <c r="J23" s="72" t="str">
        <f>IF((COUNTIF((K3:K22),"&lt;1")&gt;(ROUND(COUNTA(B3:B22)*0.25,0))),"Team ineligible. 75% of members must have passed minimum Preliminary and 50% must have passed Elementary Pattern or Dance (ISA By-Law 1033)",IF(COUNTIF(K3:K22,"&lt;2")&gt;(ROUND(COUNTA(B3:B22)*0.5,2)),"Team ineligible. 75% of members must have passed minimum Preliminary and 50% must have passed Elementary Pattern or Dance (ISA By-Law 1033)","Test levels correct. Team eligible."))</f>
        <v>Test levels correct. Team eligible.</v>
      </c>
      <c r="K23" s="76"/>
      <c r="L23" s="75" t="str">
        <f>IF((COUNTIF(L3:L22,"Yes")&gt;0),"Check percentages are correct for all teams","")</f>
        <v/>
      </c>
      <c r="M23" s="110" t="str">
        <f>IF(COUNTA(L3:L22)&gt;COUNTA(M3:M22),"Must give name and division of other team(s).","")</f>
        <v/>
      </c>
      <c r="N23"/>
      <c r="O23" s="34" t="s">
        <v>27</v>
      </c>
    </row>
    <row r="24" spans="1:15" ht="13.8" thickTop="1" x14ac:dyDescent="0.25"/>
    <row r="25" spans="1:15" x14ac:dyDescent="0.25">
      <c r="A25" s="5" t="s">
        <v>14</v>
      </c>
      <c r="K25" s="24"/>
      <c r="L25" s="24"/>
    </row>
    <row r="26" spans="1:15" ht="15" customHeight="1" x14ac:dyDescent="0.25">
      <c r="A26" s="5" t="s">
        <v>42</v>
      </c>
      <c r="D26" s="12"/>
      <c r="E26" s="12"/>
      <c r="F26" s="12"/>
      <c r="G26" s="38"/>
      <c r="H26" s="2" t="s">
        <v>8</v>
      </c>
      <c r="I26" s="40"/>
      <c r="J26" s="12"/>
      <c r="K26" s="25"/>
      <c r="L26" s="25"/>
      <c r="M26" s="12"/>
    </row>
    <row r="27" spans="1:15" s="6" customFormat="1" ht="15" customHeight="1" x14ac:dyDescent="0.25">
      <c r="A27" s="6" t="s">
        <v>43</v>
      </c>
      <c r="D27" s="13"/>
      <c r="E27" s="13"/>
      <c r="F27" s="13"/>
      <c r="G27" s="39"/>
      <c r="H27" s="2" t="s">
        <v>8</v>
      </c>
      <c r="I27" s="41"/>
      <c r="J27" s="13"/>
      <c r="K27" s="26"/>
      <c r="L27" s="26"/>
      <c r="M27" s="13"/>
      <c r="N27"/>
    </row>
  </sheetData>
  <sheetProtection algorithmName="SHA-512" hashValue="KWqSfSk1fEfOoaaFrAjWK0kqmj/7X9YvWPC+Y0oGqzKSZ9vV29Sw3Q2tDZPR7l8xev67Ta8C2HAIOl1w3IBj3A==" saltValue="TStUuy17ubKa5AbBG58zSg==" spinCount="100000" sheet="1" selectLockedCells="1" sort="0"/>
  <mergeCells count="1">
    <mergeCell ref="B1:I1"/>
  </mergeCells>
  <phoneticPr fontId="0" type="noConversion"/>
  <conditionalFormatting sqref="B23">
    <cfRule type="cellIs" dxfId="251" priority="44" stopIfTrue="1" operator="lessThan">
      <formula>9</formula>
    </cfRule>
    <cfRule type="cellIs" dxfId="250" priority="45" stopIfTrue="1" operator="greaterThanOrEqual">
      <formula>9</formula>
    </cfRule>
  </conditionalFormatting>
  <conditionalFormatting sqref="C23">
    <cfRule type="cellIs" dxfId="249" priority="46" stopIfTrue="1" operator="greaterThanOrEqual">
      <formula>"Minimum Team Number Met"</formula>
    </cfRule>
    <cfRule type="cellIs" dxfId="248" priority="47" stopIfTrue="1" operator="notEqual">
      <formula>"Minimum Team Number Met"</formula>
    </cfRule>
  </conditionalFormatting>
  <conditionalFormatting sqref="D23">
    <cfRule type="cellIs" dxfId="247" priority="55" stopIfTrue="1" operator="equal">
      <formula>"All DOB Entered"</formula>
    </cfRule>
    <cfRule type="cellIs" dxfId="246" priority="54" stopIfTrue="1" operator="equal">
      <formula>"Must enter all DOB"</formula>
    </cfRule>
  </conditionalFormatting>
  <conditionalFormatting sqref="E23">
    <cfRule type="cellIs" dxfId="245" priority="57" stopIfTrue="1" operator="equal">
      <formula>"All Member Numbers Entered"</formula>
    </cfRule>
    <cfRule type="cellIs" dxfId="244" priority="56" stopIfTrue="1" operator="equal">
      <formula>"All team members must belong to the same Member(ISA By-Law 1052)"</formula>
    </cfRule>
  </conditionalFormatting>
  <conditionalFormatting sqref="F23">
    <cfRule type="cellIs" dxfId="243" priority="59" stopIfTrue="1" operator="equal">
      <formula>"All POA Entered"</formula>
    </cfRule>
    <cfRule type="cellIs" dxfId="242" priority="58" stopIfTrue="1" operator="equal">
      <formula>"Must enter all POA"</formula>
    </cfRule>
  </conditionalFormatting>
  <conditionalFormatting sqref="G3:G22">
    <cfRule type="cellIs" dxfId="241" priority="9" stopIfTrue="1" operator="between">
      <formula>10</formula>
      <formula>14</formula>
    </cfRule>
    <cfRule type="cellIs" dxfId="240" priority="10" stopIfTrue="1" operator="lessThan">
      <formula>10</formula>
    </cfRule>
    <cfRule type="cellIs" dxfId="239" priority="11" stopIfTrue="1" operator="greaterThanOrEqual">
      <formula>15</formula>
    </cfRule>
  </conditionalFormatting>
  <conditionalFormatting sqref="G23">
    <cfRule type="cellIs" dxfId="238" priority="62" stopIfTrue="1" operator="equal">
      <formula>"Ages correct for Novice International Competition (CER Article 9.4)"</formula>
    </cfRule>
    <cfRule type="cellIs" dxfId="237" priority="61" stopIfTrue="1" operator="equal">
      <formula>"Team eligible for AFSC but ineligible for International Competition (CER Article 9.4)"</formula>
    </cfRule>
    <cfRule type="cellIs" dxfId="236" priority="60" stopIfTrue="1" operator="equal">
      <formula>"Ages Incorrect. Team Ineligible to enter. (ISA By-Law 1033)"</formula>
    </cfRule>
    <cfRule type="cellIs" dxfId="235" priority="15" stopIfTrue="1" operator="equal">
      <formula>"&gt;25% aged over 15. Team ineligible. (ISA By-Law 1033)"</formula>
    </cfRule>
  </conditionalFormatting>
  <conditionalFormatting sqref="H3:H22">
    <cfRule type="cellIs" dxfId="234" priority="52" stopIfTrue="1" operator="greaterThanOrEqual">
      <formula>16</formula>
    </cfRule>
    <cfRule type="cellIs" dxfId="233" priority="25" operator="equal">
      <formula>"Temp Visa"</formula>
    </cfRule>
    <cfRule type="cellIs" dxfId="232" priority="26" operator="equal">
      <formula>"Yes"</formula>
    </cfRule>
    <cfRule type="cellIs" dxfId="231" priority="1" operator="equal">
      <formula>"Perm Res"</formula>
    </cfRule>
    <cfRule type="cellIs" dxfId="230" priority="51" stopIfTrue="1" operator="lessThan">
      <formula>16</formula>
    </cfRule>
  </conditionalFormatting>
  <conditionalFormatting sqref="H23">
    <cfRule type="cellIs" dxfId="229" priority="2" stopIfTrue="1" operator="equal">
      <formula>"Citizenship incorrect. Excluding alternates, at least 50% must be Australian Citizens (ISA By-Law 1011.3)"</formula>
    </cfRule>
    <cfRule type="cellIs" dxfId="228" priority="5" stopIfTrue="1" operator="equal">
      <formula>"Citizenship percentage correct for international competition (CER Article 8.2.4)"</formula>
    </cfRule>
    <cfRule type="cellIs" dxfId="227" priority="4" stopIfTrue="1" operator="equal">
      <formula>"Due to citizenship %, Team eligible for AFSC only"</formula>
    </cfRule>
    <cfRule type="cellIs" dxfId="226" priority="3" stopIfTrue="1" operator="equal">
      <formula>"Citizenship incorrect. Excluding alternates, maximum 25% may not have permanent residency (ISA By-Law 1011.3)"</formula>
    </cfRule>
  </conditionalFormatting>
  <conditionalFormatting sqref="I3:I22">
    <cfRule type="cellIs" dxfId="225" priority="21" stopIfTrue="1" operator="greaterThanOrEqual">
      <formula>15</formula>
    </cfRule>
    <cfRule type="cellIs" dxfId="224" priority="20" stopIfTrue="1" operator="lessThan">
      <formula>15</formula>
    </cfRule>
    <cfRule type="cellIs" dxfId="223" priority="19" operator="equal">
      <formula>"Application made"</formula>
    </cfRule>
    <cfRule type="cellIs" dxfId="222" priority="18" operator="equal">
      <formula>"No application made"</formula>
    </cfRule>
    <cfRule type="cellIs" dxfId="221" priority="17" operator="equal">
      <formula>"Clearance received"</formula>
    </cfRule>
    <cfRule type="cellIs" dxfId="220" priority="16" operator="equal">
      <formula>"Not required"</formula>
    </cfRule>
    <cfRule type="cellIs" dxfId="219" priority="115" stopIfTrue="1" operator="equal">
      <formula>#REF!</formula>
    </cfRule>
    <cfRule type="cellIs" dxfId="218" priority="116" stopIfTrue="1" operator="equal">
      <formula>#REF!</formula>
    </cfRule>
    <cfRule type="cellIs" dxfId="217" priority="117" stopIfTrue="1" operator="equal">
      <formula>#REF!</formula>
    </cfRule>
  </conditionalFormatting>
  <conditionalFormatting sqref="I23">
    <cfRule type="cellIs" dxfId="216" priority="53" stopIfTrue="1" operator="equal">
      <formula>"ISU Member or ISA Permission Required"</formula>
    </cfRule>
  </conditionalFormatting>
  <conditionalFormatting sqref="J23">
    <cfRule type="cellIs" dxfId="215" priority="80" stopIfTrue="1" operator="equal">
      <formula>"Test levels correct. Team eligible."</formula>
    </cfRule>
    <cfRule type="cellIs" dxfId="214" priority="81" stopIfTrue="1" operator="notEqual">
      <formula>"Test levels correct. Team eligible."</formula>
    </cfRule>
  </conditionalFormatting>
  <conditionalFormatting sqref="M23">
    <cfRule type="cellIs" dxfId="213" priority="27" operator="equal">
      <formula>"Must give name and division of other team(s)."</formula>
    </cfRule>
  </conditionalFormatting>
  <conditionalFormatting sqref="Q23">
    <cfRule type="cellIs" dxfId="212" priority="76" stopIfTrue="1" operator="equal">
      <formula>"Team Composition Ineligible (ISA Rule 1043.1)"</formula>
    </cfRule>
    <cfRule type="cellIs" dxfId="211" priority="77" stopIfTrue="1" operator="equal">
      <formula>"Team Eligible"</formula>
    </cfRule>
  </conditionalFormatting>
  <dataValidations xWindow="532" yWindow="275" count="8">
    <dataValidation allowBlank="1" showInputMessage="1" showErrorMessage="1" prompt="Give team names and divisions S, J, AN, BN, A or M in brackets_x000a_Eg Knightmoves (S)_x000a_" sqref="M3:M22" xr:uid="{00000000-0002-0000-0300-000001000000}"/>
    <dataValidation type="date" allowBlank="1" showInputMessage="1" showErrorMessage="1" prompt="dd/mm/yyyy" sqref="D3:D22" xr:uid="{00000000-0002-0000-0300-000002000000}">
      <formula1>1</formula1>
      <formula2>73051</formula2>
    </dataValidation>
    <dataValidation allowBlank="1" showInputMessage="1" showErrorMessage="1" prompt="yyyy_x000a_" sqref="N1" xr:uid="{00000000-0002-0000-0300-000004000000}"/>
    <dataValidation type="list" allowBlank="1" showInputMessage="1" showErrorMessage="1" prompt="Yes_x000a_Permanent Resident_x000a_Temporary Visa_x000a_" sqref="H3:H22" xr:uid="{00000000-0002-0000-0300-000003000000}">
      <formula1>$N$3:$N$5</formula1>
    </dataValidation>
    <dataValidation type="list" allowBlank="1" showInputMessage="1" showErrorMessage="1" prompt="Put Yes or leave blank if No." sqref="L3:L22" xr:uid="{00000000-0002-0000-0300-000008000000}">
      <formula1>$N$3</formula1>
    </dataValidation>
    <dataValidation type="list" allowBlank="1" showErrorMessage="1" prompt="_x000a_" sqref="J3:J22" xr:uid="{00000000-0002-0000-0300-000007000000}">
      <formula1>$N$7:$N$14</formula1>
    </dataValidation>
    <dataValidation type="list" allowBlank="1" showInputMessage="1" showErrorMessage="1" sqref="I3:I22" xr:uid="{00000000-0002-0000-0300-000005000000}">
      <formula1>$N$16:$N$19</formula1>
    </dataValidation>
    <dataValidation type="list" allowBlank="1" showInputMessage="1" showErrorMessage="1" sqref="M1" xr:uid="{00000000-0002-0000-0300-000006000000}">
      <formula1>$O$16:$O$23</formula1>
    </dataValidation>
  </dataValidations>
  <printOptions horizontalCentered="1" verticalCentered="1"/>
  <pageMargins left="0.35433070866141736" right="0.27559055118110237" top="1.2204724409448819" bottom="0.27559055118110237" header="0.27559055118110237" footer="0.15748031496062992"/>
  <pageSetup paperSize="9" scale="81" orientation="landscape" horizontalDpi="4294967293" verticalDpi="4294967293" r:id="rId1"/>
  <headerFooter alignWithMargins="0">
    <oddHeader>&amp;L&amp;G&amp;C&amp;"Arial,Bold"&amp;12  Ice Skating Australia Limited
Affiliated to the International Skating Union
Synchronized Skating
Form Document: &amp;F&amp;R&amp;"Arial,Bold"&amp;12&amp;A</oddHeader>
    <oddFooter>&amp;C&amp;D</oddFooter>
  </headerFooter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5D24E"/>
    <pageSetUpPr fitToPage="1"/>
  </sheetPr>
  <dimension ref="A1:R27"/>
  <sheetViews>
    <sheetView zoomScale="85" zoomScaleNormal="85" zoomScaleSheetLayoutView="175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B3" sqref="B3"/>
    </sheetView>
  </sheetViews>
  <sheetFormatPr defaultRowHeight="13.2" x14ac:dyDescent="0.25"/>
  <cols>
    <col min="1" max="1" width="5.6640625" style="4" customWidth="1"/>
    <col min="2" max="2" width="18.6640625" style="4" customWidth="1"/>
    <col min="3" max="3" width="18.6640625" customWidth="1"/>
    <col min="4" max="8" width="11.6640625" customWidth="1"/>
    <col min="9" max="9" width="18.6640625" customWidth="1"/>
    <col min="10" max="10" width="24.6640625" customWidth="1"/>
    <col min="11" max="11" width="12" hidden="1" customWidth="1"/>
    <col min="12" max="12" width="11.6640625" customWidth="1"/>
    <col min="13" max="13" width="18.6640625" customWidth="1"/>
    <col min="14" max="14" width="30.33203125" hidden="1" customWidth="1"/>
    <col min="15" max="15" width="8.88671875" hidden="1" customWidth="1"/>
    <col min="16" max="16" width="10.88671875" customWidth="1"/>
    <col min="18" max="18" width="18.33203125" customWidth="1"/>
  </cols>
  <sheetData>
    <row r="1" spans="1:18" s="2" customFormat="1" ht="14.4" thickTop="1" thickBot="1" x14ac:dyDescent="0.3">
      <c r="A1" s="60" t="s">
        <v>6</v>
      </c>
      <c r="B1" s="246"/>
      <c r="C1" s="247"/>
      <c r="D1" s="247"/>
      <c r="E1" s="247"/>
      <c r="F1" s="247"/>
      <c r="G1" s="247"/>
      <c r="H1" s="247"/>
      <c r="I1" s="247"/>
      <c r="J1" s="61" t="s">
        <v>88</v>
      </c>
      <c r="K1" s="63"/>
      <c r="L1" s="61" t="s">
        <v>57</v>
      </c>
      <c r="M1" s="106"/>
      <c r="N1" s="69">
        <v>46203</v>
      </c>
    </row>
    <row r="2" spans="1:18" s="47" customFormat="1" ht="51" customHeight="1" x14ac:dyDescent="0.25">
      <c r="A2" s="57"/>
      <c r="B2" s="58" t="s">
        <v>70</v>
      </c>
      <c r="C2" s="58" t="s">
        <v>49</v>
      </c>
      <c r="D2" s="58" t="s">
        <v>12</v>
      </c>
      <c r="E2" s="58" t="s">
        <v>13</v>
      </c>
      <c r="F2" s="58" t="s">
        <v>11</v>
      </c>
      <c r="G2" s="58" t="s">
        <v>46</v>
      </c>
      <c r="H2" s="58" t="s">
        <v>66</v>
      </c>
      <c r="I2" s="59" t="s">
        <v>17</v>
      </c>
      <c r="J2" s="58" t="s">
        <v>45</v>
      </c>
      <c r="K2" s="59" t="s">
        <v>39</v>
      </c>
      <c r="L2" s="64" t="s">
        <v>50</v>
      </c>
      <c r="M2" s="107" t="s">
        <v>48</v>
      </c>
      <c r="N2" s="104"/>
      <c r="R2" s="104"/>
    </row>
    <row r="3" spans="1:18" s="4" customFormat="1" x14ac:dyDescent="0.25">
      <c r="A3" s="3">
        <v>1</v>
      </c>
      <c r="B3" s="146"/>
      <c r="C3" s="146"/>
      <c r="D3" s="147"/>
      <c r="E3" s="148"/>
      <c r="F3" s="148"/>
      <c r="G3" s="125" t="str">
        <f>IF(ISBLANK(D3),"",TRUNC(YEARFRAC(N1,D3)))</f>
        <v/>
      </c>
      <c r="H3" s="149"/>
      <c r="I3" s="150"/>
      <c r="J3" s="148"/>
      <c r="K3" s="124" t="e">
        <f>VLOOKUP(J3,N7:O14,2,FALSE)</f>
        <v>#N/A</v>
      </c>
      <c r="L3" s="148"/>
      <c r="M3" s="151"/>
      <c r="N3" s="4" t="s">
        <v>7</v>
      </c>
    </row>
    <row r="4" spans="1:18" x14ac:dyDescent="0.25">
      <c r="A4" s="3">
        <v>2</v>
      </c>
      <c r="B4" s="146"/>
      <c r="C4" s="146"/>
      <c r="D4" s="147"/>
      <c r="E4" s="148"/>
      <c r="F4" s="148"/>
      <c r="G4" s="125" t="str">
        <f>IF(ISBLANK(D4),"",TRUNC(YEARFRAC(N1,D4)))</f>
        <v/>
      </c>
      <c r="H4" s="149"/>
      <c r="I4" s="150"/>
      <c r="J4" s="148"/>
      <c r="K4" s="124" t="e">
        <f>VLOOKUP(J4,N7:O14,2,FALSE)</f>
        <v>#N/A</v>
      </c>
      <c r="L4" s="148"/>
      <c r="M4" s="151"/>
      <c r="N4" s="101" t="s">
        <v>64</v>
      </c>
    </row>
    <row r="5" spans="1:18" x14ac:dyDescent="0.25">
      <c r="A5" s="3">
        <v>3</v>
      </c>
      <c r="B5" s="146"/>
      <c r="C5" s="146"/>
      <c r="D5" s="147"/>
      <c r="E5" s="148"/>
      <c r="F5" s="148"/>
      <c r="G5" s="125" t="str">
        <f>IF(ISBLANK(D5),"",TRUNC(YEARFRAC(N1,D5)))</f>
        <v/>
      </c>
      <c r="H5" s="149"/>
      <c r="I5" s="150"/>
      <c r="J5" s="148"/>
      <c r="K5" s="124" t="e">
        <f>VLOOKUP(J5,N7:O14,2,FALSE)</f>
        <v>#N/A</v>
      </c>
      <c r="L5" s="148"/>
      <c r="M5" s="151"/>
      <c r="N5" s="101" t="s">
        <v>65</v>
      </c>
    </row>
    <row r="6" spans="1:18" x14ac:dyDescent="0.25">
      <c r="A6" s="3">
        <v>4</v>
      </c>
      <c r="B6" s="146"/>
      <c r="C6" s="146"/>
      <c r="D6" s="147"/>
      <c r="E6" s="148"/>
      <c r="F6" s="148"/>
      <c r="G6" s="125" t="str">
        <f>IF(ISBLANK(D6),"",TRUNC(YEARFRAC(N1,D6)))</f>
        <v/>
      </c>
      <c r="H6" s="149"/>
      <c r="I6" s="150"/>
      <c r="J6" s="148"/>
      <c r="K6" s="124" t="e">
        <f>VLOOKUP(J6,N7:O14,2,FALSE)</f>
        <v>#N/A</v>
      </c>
      <c r="L6" s="148"/>
      <c r="M6" s="151"/>
      <c r="N6" s="6" t="s">
        <v>19</v>
      </c>
      <c r="O6" s="23" t="s">
        <v>20</v>
      </c>
    </row>
    <row r="7" spans="1:18" x14ac:dyDescent="0.25">
      <c r="A7" s="3">
        <v>5</v>
      </c>
      <c r="B7" s="146"/>
      <c r="C7" s="146"/>
      <c r="D7" s="147"/>
      <c r="E7" s="148"/>
      <c r="F7" s="148"/>
      <c r="G7" s="125" t="str">
        <f>IF(ISBLANK(D7),"",TRUNC(YEARFRAC(N1,D7)))</f>
        <v/>
      </c>
      <c r="H7" s="149"/>
      <c r="I7" s="150"/>
      <c r="J7" s="148"/>
      <c r="K7" s="124" t="e">
        <f>VLOOKUP(J7,N7:O14,2,FALSE)</f>
        <v>#N/A</v>
      </c>
      <c r="L7" s="148"/>
      <c r="M7" s="151"/>
      <c r="N7" t="s">
        <v>16</v>
      </c>
      <c r="O7" s="78">
        <v>0</v>
      </c>
    </row>
    <row r="8" spans="1:18" x14ac:dyDescent="0.25">
      <c r="A8" s="3">
        <v>6</v>
      </c>
      <c r="B8" s="146"/>
      <c r="C8" s="146"/>
      <c r="D8" s="147"/>
      <c r="E8" s="148"/>
      <c r="F8" s="148"/>
      <c r="G8" s="125" t="str">
        <f>IF(ISBLANK(D8),"",TRUNC(YEARFRAC(N1,D8)))</f>
        <v/>
      </c>
      <c r="H8" s="149"/>
      <c r="I8" s="150"/>
      <c r="J8" s="148"/>
      <c r="K8" s="124" t="e">
        <f>VLOOKUP(J8,N7:O14,2,FALSE)</f>
        <v>#N/A</v>
      </c>
      <c r="L8" s="148"/>
      <c r="M8" s="151"/>
      <c r="N8" s="35" t="s">
        <v>78</v>
      </c>
      <c r="O8" s="78">
        <v>1</v>
      </c>
    </row>
    <row r="9" spans="1:18" x14ac:dyDescent="0.25">
      <c r="A9" s="3">
        <v>7</v>
      </c>
      <c r="B9" s="146"/>
      <c r="C9" s="146"/>
      <c r="D9" s="147"/>
      <c r="E9" s="148"/>
      <c r="F9" s="148"/>
      <c r="G9" s="125" t="str">
        <f>IF(ISBLANK(D9),"",TRUNC(YEARFRAC(N1,D9)))</f>
        <v/>
      </c>
      <c r="H9" s="149"/>
      <c r="I9" s="150"/>
      <c r="J9" s="148"/>
      <c r="K9" s="124" t="e">
        <f>VLOOKUP(J9,N7:O14,2,FALSE)</f>
        <v>#N/A</v>
      </c>
      <c r="L9" s="148"/>
      <c r="M9" s="151"/>
      <c r="N9" t="s">
        <v>79</v>
      </c>
      <c r="O9" s="78">
        <v>2</v>
      </c>
    </row>
    <row r="10" spans="1:18" x14ac:dyDescent="0.25">
      <c r="A10" s="3">
        <v>8</v>
      </c>
      <c r="B10" s="146"/>
      <c r="C10" s="146"/>
      <c r="D10" s="147"/>
      <c r="E10" s="148"/>
      <c r="F10" s="148"/>
      <c r="G10" s="125" t="str">
        <f>IF(ISBLANK(D10),"",TRUNC(YEARFRAC(N1,D10)))</f>
        <v/>
      </c>
      <c r="H10" s="149"/>
      <c r="I10" s="150"/>
      <c r="J10" s="148"/>
      <c r="K10" s="124" t="e">
        <f>VLOOKUP(J10,N7:O14,2,FALSE)</f>
        <v>#N/A</v>
      </c>
      <c r="L10" s="148"/>
      <c r="M10" s="151"/>
      <c r="N10" s="35" t="s">
        <v>80</v>
      </c>
      <c r="O10" s="78">
        <v>3</v>
      </c>
    </row>
    <row r="11" spans="1:18" x14ac:dyDescent="0.25">
      <c r="A11" s="3">
        <v>9</v>
      </c>
      <c r="B11" s="146"/>
      <c r="C11" s="146"/>
      <c r="D11" s="147"/>
      <c r="E11" s="148"/>
      <c r="F11" s="148"/>
      <c r="G11" s="125" t="str">
        <f>IF(ISBLANK(D11),"",TRUNC(YEARFRAC(N1,D11)))</f>
        <v/>
      </c>
      <c r="H11" s="149"/>
      <c r="I11" s="150"/>
      <c r="J11" s="148"/>
      <c r="K11" s="124" t="e">
        <f>VLOOKUP(J11,N7:O14,2,FALSE)</f>
        <v>#N/A</v>
      </c>
      <c r="L11" s="148"/>
      <c r="M11" s="151"/>
      <c r="N11" s="35" t="s">
        <v>81</v>
      </c>
      <c r="O11" s="78">
        <v>4</v>
      </c>
    </row>
    <row r="12" spans="1:18" x14ac:dyDescent="0.25">
      <c r="A12" s="3">
        <v>10</v>
      </c>
      <c r="B12" s="152"/>
      <c r="C12" s="152"/>
      <c r="D12" s="153"/>
      <c r="E12" s="154"/>
      <c r="F12" s="154"/>
      <c r="G12" s="125" t="str">
        <f>IF(ISBLANK(D12),"",TRUNC(YEARFRAC(N1,D12)))</f>
        <v/>
      </c>
      <c r="H12" s="155"/>
      <c r="I12" s="156"/>
      <c r="J12" s="154"/>
      <c r="K12" s="130" t="e">
        <f>VLOOKUP(J12,N7:O14,2,FALSE)</f>
        <v>#N/A</v>
      </c>
      <c r="L12" s="154"/>
      <c r="M12" s="157"/>
      <c r="N12" s="35" t="s">
        <v>82</v>
      </c>
      <c r="O12" s="78">
        <v>5</v>
      </c>
    </row>
    <row r="13" spans="1:18" x14ac:dyDescent="0.25">
      <c r="A13" s="3">
        <v>11</v>
      </c>
      <c r="B13" s="152"/>
      <c r="C13" s="152"/>
      <c r="D13" s="153"/>
      <c r="E13" s="154"/>
      <c r="F13" s="154"/>
      <c r="G13" s="125" t="str">
        <f>IF(ISBLANK(D13),"",TRUNC(YEARFRAC(N1,D13)))</f>
        <v/>
      </c>
      <c r="H13" s="155"/>
      <c r="I13" s="156"/>
      <c r="J13" s="154"/>
      <c r="K13" s="130" t="e">
        <f>VLOOKUP(J13,N7:O14,2,FALSE)</f>
        <v>#N/A</v>
      </c>
      <c r="L13" s="154"/>
      <c r="M13" s="157"/>
      <c r="N13" s="35" t="s">
        <v>83</v>
      </c>
      <c r="O13" s="78">
        <v>6</v>
      </c>
    </row>
    <row r="14" spans="1:18" x14ac:dyDescent="0.25">
      <c r="A14" s="3">
        <v>12</v>
      </c>
      <c r="B14" s="152"/>
      <c r="C14" s="152"/>
      <c r="D14" s="153"/>
      <c r="E14" s="154"/>
      <c r="F14" s="154"/>
      <c r="G14" s="125" t="str">
        <f>IF(ISBLANK(D14),"",TRUNC(YEARFRAC(N1,D14)))</f>
        <v/>
      </c>
      <c r="H14" s="155"/>
      <c r="I14" s="156"/>
      <c r="J14" s="154"/>
      <c r="K14" s="130" t="e">
        <f>VLOOKUP(J14,N7:O14,2,FALSE)</f>
        <v>#N/A</v>
      </c>
      <c r="L14" s="154"/>
      <c r="M14" s="157"/>
      <c r="N14" s="35" t="s">
        <v>84</v>
      </c>
      <c r="O14" s="78">
        <v>7</v>
      </c>
    </row>
    <row r="15" spans="1:18" x14ac:dyDescent="0.25">
      <c r="A15" s="3">
        <v>13</v>
      </c>
      <c r="B15" s="152"/>
      <c r="C15" s="152"/>
      <c r="D15" s="153"/>
      <c r="E15" s="154"/>
      <c r="F15" s="154"/>
      <c r="G15" s="125" t="str">
        <f>IF(ISBLANK(D15),"",TRUNC(YEARFRAC(N1,D15)))</f>
        <v/>
      </c>
      <c r="H15" s="155"/>
      <c r="I15" s="156"/>
      <c r="J15" s="154"/>
      <c r="K15" s="130" t="e">
        <f>VLOOKUP(J15,N7:O14,2,FALSE)</f>
        <v>#N/A</v>
      </c>
      <c r="L15" s="154"/>
      <c r="M15" s="158"/>
    </row>
    <row r="16" spans="1:18" x14ac:dyDescent="0.25">
      <c r="A16" s="3">
        <v>14</v>
      </c>
      <c r="B16" s="152"/>
      <c r="C16" s="152"/>
      <c r="D16" s="153"/>
      <c r="E16" s="154"/>
      <c r="F16" s="154"/>
      <c r="G16" s="125" t="str">
        <f>IF(ISBLANK(D16),"",TRUNC(YEARFRAC(N1,D16)))</f>
        <v/>
      </c>
      <c r="H16" s="155"/>
      <c r="I16" s="156"/>
      <c r="J16" s="154"/>
      <c r="K16" s="130" t="e">
        <f>VLOOKUP(J16,N7:O14,2,FALSE)</f>
        <v>#N/A</v>
      </c>
      <c r="L16" s="154"/>
      <c r="M16" s="157"/>
      <c r="N16" t="s">
        <v>21</v>
      </c>
      <c r="O16" t="s">
        <v>28</v>
      </c>
    </row>
    <row r="17" spans="1:15" x14ac:dyDescent="0.25">
      <c r="A17" s="3">
        <v>15</v>
      </c>
      <c r="B17" s="152"/>
      <c r="C17" s="152"/>
      <c r="D17" s="153"/>
      <c r="E17" s="154"/>
      <c r="F17" s="154"/>
      <c r="G17" s="125" t="str">
        <f>IF(ISBLANK(D17),"",TRUNC(YEARFRAC(N1,D17)))</f>
        <v/>
      </c>
      <c r="H17" s="155"/>
      <c r="I17" s="156"/>
      <c r="J17" s="154"/>
      <c r="K17" s="130" t="e">
        <f>VLOOKUP(J17,N7:O14,2,FALSE)</f>
        <v>#N/A</v>
      </c>
      <c r="L17" s="154"/>
      <c r="M17" s="157"/>
      <c r="N17" t="s">
        <v>18</v>
      </c>
      <c r="O17" s="35" t="s">
        <v>58</v>
      </c>
    </row>
    <row r="18" spans="1:15" x14ac:dyDescent="0.25">
      <c r="A18" s="3">
        <v>16</v>
      </c>
      <c r="B18" s="152"/>
      <c r="C18" s="152"/>
      <c r="D18" s="153"/>
      <c r="E18" s="154"/>
      <c r="F18" s="154"/>
      <c r="G18" s="125" t="str">
        <f>IF(ISBLANK(D18),"",TRUNC(YEARFRAC(N1,D18)))</f>
        <v/>
      </c>
      <c r="H18" s="155"/>
      <c r="I18" s="156"/>
      <c r="J18" s="154"/>
      <c r="K18" s="130" t="e">
        <f>VLOOKUP(J18,N7:O14,2,FALSE)</f>
        <v>#N/A</v>
      </c>
      <c r="L18" s="154"/>
      <c r="M18" s="157"/>
      <c r="N18" s="35" t="s">
        <v>44</v>
      </c>
      <c r="O18" s="34" t="s">
        <v>40</v>
      </c>
    </row>
    <row r="19" spans="1:15" x14ac:dyDescent="0.25">
      <c r="A19" s="3">
        <v>17</v>
      </c>
      <c r="B19" s="152"/>
      <c r="C19" s="152"/>
      <c r="D19" s="153"/>
      <c r="E19" s="154"/>
      <c r="F19" s="154"/>
      <c r="G19" s="125" t="str">
        <f>IF(ISBLANK(D19),"",TRUNC(YEARFRAC(N1,D19)))</f>
        <v/>
      </c>
      <c r="H19" s="155"/>
      <c r="I19" s="156"/>
      <c r="J19" s="154"/>
      <c r="K19" s="130" t="e">
        <f>VLOOKUP(J19,N7:O14,2,FALSE)</f>
        <v>#N/A</v>
      </c>
      <c r="L19" s="154"/>
      <c r="M19" s="157"/>
      <c r="N19" s="35"/>
      <c r="O19" t="s">
        <v>23</v>
      </c>
    </row>
    <row r="20" spans="1:15" x14ac:dyDescent="0.25">
      <c r="A20" s="3">
        <v>18</v>
      </c>
      <c r="B20" s="152"/>
      <c r="C20" s="152"/>
      <c r="D20" s="153"/>
      <c r="E20" s="154"/>
      <c r="F20" s="154"/>
      <c r="G20" s="125" t="str">
        <f>IF(ISBLANK(D20),"",TRUNC(YEARFRAC(N1,D20)))</f>
        <v/>
      </c>
      <c r="H20" s="155"/>
      <c r="I20" s="156"/>
      <c r="J20" s="154"/>
      <c r="K20" s="130" t="e">
        <f>VLOOKUP(J20,N7:O14,2,FALSE)</f>
        <v>#N/A</v>
      </c>
      <c r="L20" s="154"/>
      <c r="M20" s="157"/>
      <c r="O20" t="s">
        <v>24</v>
      </c>
    </row>
    <row r="21" spans="1:15" x14ac:dyDescent="0.25">
      <c r="A21" s="3">
        <v>19</v>
      </c>
      <c r="B21" s="152"/>
      <c r="C21" s="152"/>
      <c r="D21" s="153"/>
      <c r="E21" s="154"/>
      <c r="F21" s="154"/>
      <c r="G21" s="125" t="str">
        <f>IF(ISBLANK(D21),"",TRUNC(YEARFRAC(N1,D21)))</f>
        <v/>
      </c>
      <c r="H21" s="155"/>
      <c r="I21" s="156"/>
      <c r="J21" s="154"/>
      <c r="K21" s="130" t="e">
        <f>VLOOKUP(J21,N7:O14,2,FALSE)</f>
        <v>#N/A</v>
      </c>
      <c r="L21" s="154"/>
      <c r="M21" s="157"/>
      <c r="O21" t="s">
        <v>25</v>
      </c>
    </row>
    <row r="22" spans="1:15" x14ac:dyDescent="0.25">
      <c r="A22" s="3">
        <v>20</v>
      </c>
      <c r="B22" s="152"/>
      <c r="C22" s="152"/>
      <c r="D22" s="153"/>
      <c r="E22" s="154"/>
      <c r="F22" s="154"/>
      <c r="G22" s="125" t="str">
        <f>IF(ISBLANK(D22),"",TRUNC(YEARFRAC(N1,D22)))</f>
        <v/>
      </c>
      <c r="H22" s="155"/>
      <c r="I22" s="156"/>
      <c r="J22" s="154"/>
      <c r="K22" s="130" t="e">
        <f>VLOOKUP(J22,N7:O14,2,FALSE)</f>
        <v>#N/A</v>
      </c>
      <c r="L22" s="154"/>
      <c r="M22" s="157"/>
      <c r="O22" t="s">
        <v>26</v>
      </c>
    </row>
    <row r="23" spans="1:15" s="46" customFormat="1" ht="109.95" customHeight="1" thickBot="1" x14ac:dyDescent="0.25">
      <c r="A23" s="43"/>
      <c r="B23" s="72">
        <f>COUNTA(B3:B22)</f>
        <v>0</v>
      </c>
      <c r="C23" s="72" t="str">
        <f>IF((COUNTA(B3:B22)&lt;9),"Below Minimum Number (ISA By-Law  1034)",IF((COUNTA(B3:B22)&gt;11),"Team number eligible for International Competition (CER Article 9.4)","Minimum Team Number Met for AFSC Only(ISA By-Law 1034)"))</f>
        <v>Below Minimum Number (ISA By-Law  1034)</v>
      </c>
      <c r="D23" s="73" t="str">
        <f>IF(COUNTA(B3:B22)&lt;&gt;COUNTA(D3:D22),"Must enter all DOB","All DOB Entered")</f>
        <v>All DOB Entered</v>
      </c>
      <c r="E23" s="74" t="str">
        <f>IF(COUNTA(B3:B22)&lt;&gt;COUNTA(E3:E22),"All team members must belong to the same Member(ISA By-Law 1004)","All Member Numbers Entered")</f>
        <v>All Member Numbers Entered</v>
      </c>
      <c r="F23" s="74" t="str">
        <f>IF(COUNTA(B3:B22)&lt;&gt;COUNTA(F3:F22),"Must enter all POA","All POA Entered")</f>
        <v>All POA Entered</v>
      </c>
      <c r="G23" s="72" t="str">
        <f>IF(COUNTIF((G3:G22),"&gt;15")&gt;0,"Ages Incorrect. Team Ineligible to enter. (ISA By-Law 1034)",(IF(COUNTIF(G3:G22,"&lt;10")&gt;0,"Team eligible for AFSC but ineligible for International Competition (CER Article 9.4)","Ages correct for Novice International Competition (CER Article 9.4)")))</f>
        <v>Ages correct for Novice International Competition (CER Article 9.4)</v>
      </c>
      <c r="H23" s="72" t="str">
        <f>IF(COUNTIF(H3:H22,"Perm Res")+COUNTIF(H3:H22,"Temp Visa")&gt;((B23-(B23-16))*0.5),"Citizenship incorrect. Excluding alternates, at least 50% must be Australian Citizens (ISA By-Law 1011.3)", IF(COUNTIF(H3:H22,"Temp Visa")&gt;(COUNTA(B3:B22)*0.25),"Citizenship incorrect. Excluding alternates, maximum 25% may not have permanent residency (ISA By-Law 1011.3)", IF(COUNTIF(H3:H22,"Perm Res")+COUNTIF(H3:H22,"Temp Visa")&gt;(COUNTA(B3:B22)*0.25),"Due to citizenship %, Team eligible for AFSC only","Citizenship percentage correct for international competition (CER Article 8.2.4)")))</f>
        <v>Citizenship percentage correct for international competition (CER Article 8.2.4)</v>
      </c>
      <c r="I23" s="74" t="s">
        <v>89</v>
      </c>
      <c r="J23" s="72" t="str">
        <f>IF((COUNTIF((K3:K22),"&lt;1")&gt;(ROUND(COUNTA(B3:B22)*0.75,0))),"Team ineligible. Minimum 25% of members must have passed Preliminary Test (ISA By-Law 1034)",IF((COUNTIF((K3:K22),"&gt;1")&gt;(ROUND(COUNTA(B3:B22)*0.5,0))),"Team ineligible. Maximum of 50% of members must not have passed Elementary test or higher (ISA By-Law 1034)",IF((COUNTIF((K3:K22),"&lt;1")&gt;(ROUND(COUNTA(B3:B22)*0.25,0))),"Team eligible for AFSC only. (ISA By-Law 1034)","Team eligible for international competition.")))</f>
        <v>Team eligible for international competition.</v>
      </c>
      <c r="K23" s="76"/>
      <c r="L23" s="72" t="str">
        <f>IF((COUNTIF(L3:L22,"Yes")&gt;ROUND(COUNTA(B3:B22)*0.25,0)),"Team Composition Ineligible (ISA By-Law 1034)","Team Composition Eligible (ISA By-Law 1034)")</f>
        <v>Team Composition Eligible (ISA By-Law 1034)</v>
      </c>
      <c r="M23" s="114" t="str">
        <f>IF(COUNTA(L3:L22)&gt;COUNTA(M3:M22),"Must give name and division of other team(s).","")</f>
        <v/>
      </c>
      <c r="N23" s="48"/>
      <c r="O23" s="34" t="s">
        <v>27</v>
      </c>
    </row>
    <row r="24" spans="1:15" ht="13.8" thickTop="1" x14ac:dyDescent="0.25"/>
    <row r="25" spans="1:15" x14ac:dyDescent="0.25">
      <c r="A25" s="5" t="s">
        <v>14</v>
      </c>
      <c r="K25" s="24"/>
      <c r="L25" s="24"/>
    </row>
    <row r="26" spans="1:15" ht="15" customHeight="1" x14ac:dyDescent="0.25">
      <c r="A26" s="5" t="s">
        <v>42</v>
      </c>
      <c r="D26" s="12"/>
      <c r="E26" s="12"/>
      <c r="F26" s="12"/>
      <c r="G26" s="38"/>
      <c r="H26" s="2" t="s">
        <v>8</v>
      </c>
      <c r="I26" s="40"/>
      <c r="J26" s="12"/>
      <c r="K26" s="25"/>
      <c r="L26" s="25"/>
      <c r="M26" s="12"/>
    </row>
    <row r="27" spans="1:15" s="6" customFormat="1" ht="15" customHeight="1" x14ac:dyDescent="0.25">
      <c r="A27" s="6" t="s">
        <v>43</v>
      </c>
      <c r="D27" s="13"/>
      <c r="E27" s="13"/>
      <c r="F27" s="13"/>
      <c r="G27" s="39"/>
      <c r="H27" s="2" t="s">
        <v>8</v>
      </c>
      <c r="I27" s="41"/>
      <c r="J27" s="13"/>
      <c r="K27" s="26"/>
      <c r="L27" s="26"/>
      <c r="M27" s="13"/>
      <c r="N27"/>
    </row>
  </sheetData>
  <sheetProtection algorithmName="SHA-512" hashValue="hAUexoXoV/ucSs7mPN5C7aUfF1XPX7tT1HtrMNt6OXWKGnh+VE3mNjyYtZbjkS88R1MugDXcfQ/X4mhoP3MjxA==" saltValue="tEAOUmXErmKIhw8ELHpLqg==" spinCount="100000" sheet="1" selectLockedCells="1" sort="0"/>
  <mergeCells count="1">
    <mergeCell ref="B1:I1"/>
  </mergeCells>
  <conditionalFormatting sqref="B23">
    <cfRule type="cellIs" dxfId="210" priority="41" stopIfTrue="1" operator="greaterThanOrEqual">
      <formula>9</formula>
    </cfRule>
    <cfRule type="cellIs" dxfId="209" priority="40" stopIfTrue="1" operator="lessThan">
      <formula>9</formula>
    </cfRule>
  </conditionalFormatting>
  <conditionalFormatting sqref="C23">
    <cfRule type="cellIs" dxfId="208" priority="43" stopIfTrue="1" operator="notEqual">
      <formula>"Minimum Team Number Met"</formula>
    </cfRule>
    <cfRule type="cellIs" dxfId="207" priority="42" stopIfTrue="1" operator="greaterThanOrEqual">
      <formula>"Minimum Team Number Met"</formula>
    </cfRule>
  </conditionalFormatting>
  <conditionalFormatting sqref="D23">
    <cfRule type="cellIs" dxfId="206" priority="51" stopIfTrue="1" operator="equal">
      <formula>"All DOB Entered"</formula>
    </cfRule>
    <cfRule type="cellIs" dxfId="205" priority="50" stopIfTrue="1" operator="equal">
      <formula>"Must enter all DOB"</formula>
    </cfRule>
  </conditionalFormatting>
  <conditionalFormatting sqref="E23">
    <cfRule type="cellIs" dxfId="204" priority="52" stopIfTrue="1" operator="equal">
      <formula>"All team members must belong to the same Member(ISA By-Law 1052)"</formula>
    </cfRule>
    <cfRule type="cellIs" dxfId="203" priority="53" stopIfTrue="1" operator="equal">
      <formula>"All Member Numbers Entered"</formula>
    </cfRule>
  </conditionalFormatting>
  <conditionalFormatting sqref="F23">
    <cfRule type="cellIs" dxfId="202" priority="54" stopIfTrue="1" operator="equal">
      <formula>"Must enter all POA"</formula>
    </cfRule>
    <cfRule type="cellIs" dxfId="201" priority="55" stopIfTrue="1" operator="equal">
      <formula>"All POA Entered"</formula>
    </cfRule>
  </conditionalFormatting>
  <conditionalFormatting sqref="G3:G22">
    <cfRule type="cellIs" dxfId="200" priority="8" stopIfTrue="1" operator="between">
      <formula>10</formula>
      <formula>14</formula>
    </cfRule>
    <cfRule type="cellIs" dxfId="199" priority="9" stopIfTrue="1" operator="lessThan">
      <formula>10</formula>
    </cfRule>
    <cfRule type="cellIs" dxfId="198" priority="10" stopIfTrue="1" operator="greaterThanOrEqual">
      <formula>15</formula>
    </cfRule>
  </conditionalFormatting>
  <conditionalFormatting sqref="G23">
    <cfRule type="cellIs" dxfId="197" priority="56" stopIfTrue="1" operator="equal">
      <formula>"Ages incorrect. Team Ineligible to enter. (ISA By-Law 1034)"</formula>
    </cfRule>
    <cfRule type="cellIs" dxfId="196" priority="57" stopIfTrue="1" operator="equal">
      <formula>"Team eligible for AFSC but ineligible for International Competition (CER Article 9.4)"</formula>
    </cfRule>
    <cfRule type="cellIs" dxfId="195" priority="58" stopIfTrue="1" operator="equal">
      <formula>"Ages Correct for Novice International Competition (CER Article 9.4)"</formula>
    </cfRule>
  </conditionalFormatting>
  <conditionalFormatting sqref="H3:H22">
    <cfRule type="cellIs" dxfId="194" priority="16" operator="equal">
      <formula>"Temp Visa"</formula>
    </cfRule>
    <cfRule type="cellIs" dxfId="193" priority="24" operator="equal">
      <formula>"Perm Res"</formula>
    </cfRule>
    <cfRule type="cellIs" dxfId="192" priority="25" operator="equal">
      <formula>"Yes"</formula>
    </cfRule>
  </conditionalFormatting>
  <conditionalFormatting sqref="H23">
    <cfRule type="cellIs" dxfId="191" priority="4" stopIfTrue="1" operator="equal">
      <formula>"Citizenship incorrect. Excluding alternates, at least 50% must be Australian Citizens (ISA By-Law 1011.3)"</formula>
    </cfRule>
    <cfRule type="cellIs" dxfId="190" priority="5" stopIfTrue="1" operator="equal">
      <formula>"Citizenship incorrect. Excluding alternates, maximum 25% may not have permanent residency (ISA By-Law 1011.3)"</formula>
    </cfRule>
    <cfRule type="cellIs" dxfId="189" priority="6" stopIfTrue="1" operator="equal">
      <formula>"Due to citizenship %, Team eligible for AFSC only"</formula>
    </cfRule>
    <cfRule type="cellIs" dxfId="188" priority="7" stopIfTrue="1" operator="equal">
      <formula>"Citizenship percentage correct for international competition (CER Article 8.2.4)"</formula>
    </cfRule>
  </conditionalFormatting>
  <conditionalFormatting sqref="H3:I22">
    <cfRule type="cellIs" dxfId="187" priority="3" stopIfTrue="1" operator="lessThan">
      <formula>16</formula>
    </cfRule>
  </conditionalFormatting>
  <conditionalFormatting sqref="I3:I22">
    <cfRule type="cellIs" dxfId="186" priority="67" stopIfTrue="1" operator="equal">
      <formula>#REF!</formula>
    </cfRule>
    <cfRule type="cellIs" dxfId="185" priority="68" stopIfTrue="1" operator="equal">
      <formula>#REF!</formula>
    </cfRule>
    <cfRule type="cellIs" dxfId="184" priority="69" stopIfTrue="1" operator="equal">
      <formula>#REF!</formula>
    </cfRule>
  </conditionalFormatting>
  <conditionalFormatting sqref="I23">
    <cfRule type="cellIs" dxfId="183" priority="49" stopIfTrue="1" operator="equal">
      <formula>"ISU Member or ISA Permission Required"</formula>
    </cfRule>
  </conditionalFormatting>
  <conditionalFormatting sqref="J23">
    <cfRule type="cellIs" dxfId="182" priority="2" stopIfTrue="1" operator="equal">
      <formula>"Team ineligible. Maximum of 50% of members must not have passed Elementary test or higher (ISA By-Law 1034)"</formula>
    </cfRule>
    <cfRule type="cellIs" dxfId="181" priority="1" stopIfTrue="1" operator="equal">
      <formula>"Team ineligible. Minimum 25% of members must have passed Preliminary Test (ISA By-Law 1034)"</formula>
    </cfRule>
    <cfRule type="cellIs" dxfId="180" priority="76" stopIfTrue="1" operator="equal">
      <formula>"Team eligible for AFSC only. (ISA By-Law 1034)"</formula>
    </cfRule>
    <cfRule type="cellIs" dxfId="179" priority="77" stopIfTrue="1" operator="equal">
      <formula>"Team eligible for international competition."</formula>
    </cfRule>
  </conditionalFormatting>
  <conditionalFormatting sqref="L3:L22">
    <cfRule type="cellIs" dxfId="178" priority="21" operator="equal">
      <formula>"Yes"</formula>
    </cfRule>
    <cfRule type="cellIs" dxfId="177" priority="20" operator="equal">
      <formula>"No"</formula>
    </cfRule>
  </conditionalFormatting>
  <conditionalFormatting sqref="L23">
    <cfRule type="cellIs" dxfId="176" priority="23" operator="equal">
      <formula>"Team composition ineligible (ISA By-Law 1034)"</formula>
    </cfRule>
    <cfRule type="cellIs" dxfId="175" priority="22" operator="equal">
      <formula>"Team composition eligible (ISA By-Law 1034)"</formula>
    </cfRule>
  </conditionalFormatting>
  <conditionalFormatting sqref="M23">
    <cfRule type="cellIs" dxfId="174" priority="19" operator="equal">
      <formula>"Must give name and division of other team(s)."</formula>
    </cfRule>
  </conditionalFormatting>
  <conditionalFormatting sqref="Q23">
    <cfRule type="cellIs" dxfId="173" priority="72" stopIfTrue="1" operator="equal">
      <formula>"Team Composition Ineligible (ISA Rule 1043.1)"</formula>
    </cfRule>
    <cfRule type="cellIs" dxfId="172" priority="73" stopIfTrue="1" operator="equal">
      <formula>"Team Eligible"</formula>
    </cfRule>
  </conditionalFormatting>
  <dataValidations count="8">
    <dataValidation allowBlank="1" showInputMessage="1" showErrorMessage="1" prompt="Give team names and divisions S, J, AN, BN, A or M in brackets_x000a_Eg Knightmoves (S)_x000a_" sqref="M3:M22" xr:uid="{00000000-0002-0000-0400-000001000000}"/>
    <dataValidation allowBlank="1" showInputMessage="1" showErrorMessage="1" prompt="yyyy_x000a_" sqref="N1" xr:uid="{00000000-0002-0000-0400-000005000000}"/>
    <dataValidation type="date" allowBlank="1" showInputMessage="1" showErrorMessage="1" prompt="dd/mm/yyyy" sqref="D3:D22" xr:uid="{00000000-0002-0000-0400-000007000000}">
      <formula1>1</formula1>
      <formula2>73051</formula2>
    </dataValidation>
    <dataValidation type="list" allowBlank="1" showInputMessage="1" showErrorMessage="1" prompt="Yes_x000a_Permanent Resident_x000a_Temporary Visa_x000a_" sqref="H3:H22" xr:uid="{00000000-0002-0000-0400-000006000000}">
      <formula1>$N$3:$N$5</formula1>
    </dataValidation>
    <dataValidation type="list" allowBlank="1" showInputMessage="1" showErrorMessage="1" prompt="Put Yes or leave blank if No." sqref="L3:L22" xr:uid="{00000000-0002-0000-0400-000008000000}">
      <formula1>$N$3</formula1>
    </dataValidation>
    <dataValidation type="list" allowBlank="1" showErrorMessage="1" prompt="_x000a_" sqref="J3:J22" xr:uid="{00000000-0002-0000-0400-000002000000}">
      <formula1>$N$7:$N$14</formula1>
    </dataValidation>
    <dataValidation type="list" allowBlank="1" showInputMessage="1" showErrorMessage="1" sqref="I3:I22" xr:uid="{00000000-0002-0000-0400-000004000000}">
      <formula1>$N$16:$N$19</formula1>
    </dataValidation>
    <dataValidation type="list" allowBlank="1" showInputMessage="1" showErrorMessage="1" sqref="M1" xr:uid="{00000000-0002-0000-0400-000003000000}">
      <formula1>$O$16:$O$23</formula1>
    </dataValidation>
  </dataValidations>
  <printOptions horizontalCentered="1" verticalCentered="1"/>
  <pageMargins left="0.35433070866141736" right="0.27559055118110237" top="1.2204724409448819" bottom="0.27559055118110237" header="0.27559055118110237" footer="0.15748031496062992"/>
  <pageSetup paperSize="9" scale="81" orientation="landscape" horizontalDpi="4294967293" verticalDpi="4294967293" r:id="rId1"/>
  <headerFooter alignWithMargins="0">
    <oddHeader>&amp;L&amp;G&amp;C&amp;"Arial,Bold"&amp;12  Ice Skating Australia Limited
Affiliated to the International Skating Union
Synchronized Skating
Form Document: &amp;F&amp;R&amp;"Arial,Bold"&amp;12&amp;A</oddHeader>
    <oddFooter>&amp;C&amp;D</oddFoot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F29D-5F41-4A42-8557-EF827E28DF2D}">
  <sheetPr>
    <tabColor rgb="FF99FF33"/>
    <pageSetUpPr fitToPage="1"/>
  </sheetPr>
  <dimension ref="A1:O27"/>
  <sheetViews>
    <sheetView zoomScale="85" zoomScaleNormal="85" zoomScaleSheetLayoutView="175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B3" sqref="B3"/>
    </sheetView>
  </sheetViews>
  <sheetFormatPr defaultRowHeight="13.2" x14ac:dyDescent="0.25"/>
  <cols>
    <col min="1" max="1" width="5.6640625" style="4" customWidth="1"/>
    <col min="2" max="2" width="18.6640625" style="4" customWidth="1"/>
    <col min="3" max="3" width="18.6640625" customWidth="1"/>
    <col min="4" max="8" width="11.6640625" customWidth="1"/>
    <col min="9" max="9" width="18.6640625" customWidth="1"/>
    <col min="10" max="10" width="24.6640625" customWidth="1"/>
    <col min="11" max="11" width="12" hidden="1" customWidth="1"/>
    <col min="12" max="12" width="11.6640625" customWidth="1"/>
    <col min="13" max="13" width="18.6640625" customWidth="1"/>
    <col min="14" max="14" width="30.33203125" hidden="1" customWidth="1"/>
    <col min="15" max="15" width="8.88671875" hidden="1" customWidth="1"/>
    <col min="16" max="16" width="10.88671875" customWidth="1"/>
    <col min="18" max="18" width="18.33203125" customWidth="1"/>
  </cols>
  <sheetData>
    <row r="1" spans="1:15" s="2" customFormat="1" ht="14.4" thickTop="1" thickBot="1" x14ac:dyDescent="0.3">
      <c r="A1" s="60" t="s">
        <v>6</v>
      </c>
      <c r="B1" s="244"/>
      <c r="C1" s="245"/>
      <c r="D1" s="245"/>
      <c r="E1" s="245"/>
      <c r="F1" s="245"/>
      <c r="G1" s="245"/>
      <c r="H1" s="245"/>
      <c r="I1" s="245"/>
      <c r="J1" s="61" t="s">
        <v>88</v>
      </c>
      <c r="K1" s="63"/>
      <c r="L1" s="61" t="s">
        <v>57</v>
      </c>
      <c r="M1" s="106"/>
      <c r="N1" s="69">
        <v>46203</v>
      </c>
    </row>
    <row r="2" spans="1:15" s="47" customFormat="1" ht="51" customHeight="1" x14ac:dyDescent="0.25">
      <c r="A2" s="57"/>
      <c r="B2" s="58" t="s">
        <v>70</v>
      </c>
      <c r="C2" s="58" t="s">
        <v>49</v>
      </c>
      <c r="D2" s="58" t="s">
        <v>12</v>
      </c>
      <c r="E2" s="58" t="s">
        <v>13</v>
      </c>
      <c r="F2" s="58" t="s">
        <v>11</v>
      </c>
      <c r="G2" s="58" t="s">
        <v>46</v>
      </c>
      <c r="H2" s="58" t="s">
        <v>66</v>
      </c>
      <c r="I2" s="59" t="s">
        <v>17</v>
      </c>
      <c r="J2" s="58" t="s">
        <v>45</v>
      </c>
      <c r="K2" s="59" t="s">
        <v>39</v>
      </c>
      <c r="L2" s="64" t="s">
        <v>50</v>
      </c>
      <c r="M2" s="107" t="s">
        <v>48</v>
      </c>
      <c r="N2" s="104"/>
    </row>
    <row r="3" spans="1:15" s="4" customFormat="1" x14ac:dyDescent="0.25">
      <c r="A3" s="3">
        <v>1</v>
      </c>
      <c r="B3" s="146"/>
      <c r="C3" s="146"/>
      <c r="D3" s="147"/>
      <c r="E3" s="148"/>
      <c r="F3" s="148"/>
      <c r="G3" s="125" t="str">
        <f>IF(ISBLANK(D3),"",TRUNC(YEARFRAC(N1,D3)))</f>
        <v/>
      </c>
      <c r="H3" s="149"/>
      <c r="I3" s="150"/>
      <c r="J3" s="148"/>
      <c r="K3" s="124" t="e">
        <f>VLOOKUP(J3,N7:O14,2,FALSE)</f>
        <v>#N/A</v>
      </c>
      <c r="L3" s="148"/>
      <c r="M3" s="151"/>
      <c r="N3" s="4" t="s">
        <v>7</v>
      </c>
    </row>
    <row r="4" spans="1:15" x14ac:dyDescent="0.25">
      <c r="A4" s="3">
        <v>2</v>
      </c>
      <c r="B4" s="146"/>
      <c r="C4" s="146"/>
      <c r="D4" s="147"/>
      <c r="E4" s="148"/>
      <c r="F4" s="148"/>
      <c r="G4" s="125" t="str">
        <f>IF(ISBLANK(D4),"",TRUNC(YEARFRAC(N1,D4)))</f>
        <v/>
      </c>
      <c r="H4" s="149"/>
      <c r="I4" s="150"/>
      <c r="J4" s="148"/>
      <c r="K4" s="124" t="e">
        <f>VLOOKUP(J4,N7:O14,2,FALSE)</f>
        <v>#N/A</v>
      </c>
      <c r="L4" s="148"/>
      <c r="M4" s="151"/>
      <c r="N4" s="4" t="s">
        <v>64</v>
      </c>
    </row>
    <row r="5" spans="1:15" x14ac:dyDescent="0.25">
      <c r="A5" s="3">
        <v>3</v>
      </c>
      <c r="B5" s="146"/>
      <c r="C5" s="146"/>
      <c r="D5" s="147"/>
      <c r="E5" s="148"/>
      <c r="F5" s="148"/>
      <c r="G5" s="125" t="str">
        <f>IF(ISBLANK(D5),"",TRUNC(YEARFRAC(N1,D5)))</f>
        <v/>
      </c>
      <c r="H5" s="149"/>
      <c r="I5" s="150"/>
      <c r="J5" s="148"/>
      <c r="K5" s="124" t="e">
        <f>VLOOKUP(J5,N7:O14,2,FALSE)</f>
        <v>#N/A</v>
      </c>
      <c r="L5" s="148"/>
      <c r="M5" s="151"/>
      <c r="N5" s="4" t="s">
        <v>65</v>
      </c>
    </row>
    <row r="6" spans="1:15" x14ac:dyDescent="0.25">
      <c r="A6" s="3">
        <v>4</v>
      </c>
      <c r="B6" s="146"/>
      <c r="C6" s="146"/>
      <c r="D6" s="147"/>
      <c r="E6" s="148"/>
      <c r="F6" s="148"/>
      <c r="G6" s="125" t="str">
        <f>IF(ISBLANK(D6),"",TRUNC(YEARFRAC(N1,D6)))</f>
        <v/>
      </c>
      <c r="H6" s="149"/>
      <c r="I6" s="150"/>
      <c r="J6" s="148"/>
      <c r="K6" s="124" t="e">
        <f>VLOOKUP(J6,N7:O14,2,FALSE)</f>
        <v>#N/A</v>
      </c>
      <c r="L6" s="148"/>
      <c r="M6" s="151"/>
      <c r="N6" s="6" t="s">
        <v>19</v>
      </c>
      <c r="O6" s="23" t="s">
        <v>20</v>
      </c>
    </row>
    <row r="7" spans="1:15" x14ac:dyDescent="0.25">
      <c r="A7" s="3">
        <v>5</v>
      </c>
      <c r="B7" s="146"/>
      <c r="C7" s="146"/>
      <c r="D7" s="147"/>
      <c r="E7" s="148"/>
      <c r="F7" s="148"/>
      <c r="G7" s="125" t="str">
        <f>IF(ISBLANK(D7),"",TRUNC(YEARFRAC(N1,D7)))</f>
        <v/>
      </c>
      <c r="H7" s="149"/>
      <c r="I7" s="150"/>
      <c r="J7" s="148"/>
      <c r="K7" s="124" t="e">
        <f>VLOOKUP(J7,N7:O14,2,FALSE)</f>
        <v>#N/A</v>
      </c>
      <c r="L7" s="148"/>
      <c r="M7" s="151"/>
      <c r="N7" t="s">
        <v>16</v>
      </c>
      <c r="O7" s="78">
        <v>0</v>
      </c>
    </row>
    <row r="8" spans="1:15" x14ac:dyDescent="0.25">
      <c r="A8" s="3">
        <v>6</v>
      </c>
      <c r="B8" s="146"/>
      <c r="C8" s="146"/>
      <c r="D8" s="147"/>
      <c r="E8" s="148"/>
      <c r="F8" s="148"/>
      <c r="G8" s="125" t="str">
        <f>IF(ISBLANK(D8),"",TRUNC(YEARFRAC(N1,D8)))</f>
        <v/>
      </c>
      <c r="H8" s="149"/>
      <c r="I8" s="150"/>
      <c r="J8" s="148"/>
      <c r="K8" s="124" t="e">
        <f>VLOOKUP(J8,N7:O14,2,FALSE)</f>
        <v>#N/A</v>
      </c>
      <c r="L8" s="148"/>
      <c r="M8" s="151"/>
      <c r="N8" s="35" t="s">
        <v>78</v>
      </c>
      <c r="O8" s="78">
        <v>1</v>
      </c>
    </row>
    <row r="9" spans="1:15" x14ac:dyDescent="0.25">
      <c r="A9" s="3">
        <v>7</v>
      </c>
      <c r="B9" s="146"/>
      <c r="C9" s="146"/>
      <c r="D9" s="147"/>
      <c r="E9" s="148"/>
      <c r="F9" s="148"/>
      <c r="G9" s="125" t="str">
        <f>IF(ISBLANK(D9),"",TRUNC(YEARFRAC(N1,D9)))</f>
        <v/>
      </c>
      <c r="H9" s="149"/>
      <c r="I9" s="150"/>
      <c r="J9" s="148"/>
      <c r="K9" s="124" t="e">
        <f>VLOOKUP(J9,N7:O14,2,FALSE)</f>
        <v>#N/A</v>
      </c>
      <c r="L9" s="148"/>
      <c r="M9" s="151"/>
      <c r="N9" t="s">
        <v>79</v>
      </c>
      <c r="O9" s="78">
        <v>2</v>
      </c>
    </row>
    <row r="10" spans="1:15" x14ac:dyDescent="0.25">
      <c r="A10" s="3">
        <v>8</v>
      </c>
      <c r="B10" s="146"/>
      <c r="C10" s="146"/>
      <c r="D10" s="147"/>
      <c r="E10" s="148"/>
      <c r="F10" s="148"/>
      <c r="G10" s="125" t="str">
        <f>IF(ISBLANK(D10),"",TRUNC(YEARFRAC(N1,D10)))</f>
        <v/>
      </c>
      <c r="H10" s="149"/>
      <c r="I10" s="150"/>
      <c r="J10" s="148"/>
      <c r="K10" s="124" t="e">
        <f>VLOOKUP(J10,N7:O14,2,FALSE)</f>
        <v>#N/A</v>
      </c>
      <c r="L10" s="148"/>
      <c r="M10" s="151"/>
      <c r="N10" s="35" t="s">
        <v>80</v>
      </c>
      <c r="O10" s="78">
        <v>3</v>
      </c>
    </row>
    <row r="11" spans="1:15" x14ac:dyDescent="0.25">
      <c r="A11" s="3">
        <v>9</v>
      </c>
      <c r="B11" s="146"/>
      <c r="C11" s="146"/>
      <c r="D11" s="147"/>
      <c r="E11" s="148"/>
      <c r="F11" s="148"/>
      <c r="G11" s="125" t="str">
        <f>IF(ISBLANK(D11),"",TRUNC(YEARFRAC(N1,D11)))</f>
        <v/>
      </c>
      <c r="H11" s="149"/>
      <c r="I11" s="150"/>
      <c r="J11" s="148"/>
      <c r="K11" s="124" t="e">
        <f>VLOOKUP(J11,N7:O14,2,FALSE)</f>
        <v>#N/A</v>
      </c>
      <c r="L11" s="148"/>
      <c r="M11" s="151"/>
      <c r="N11" s="35" t="s">
        <v>81</v>
      </c>
      <c r="O11" s="78">
        <v>4</v>
      </c>
    </row>
    <row r="12" spans="1:15" x14ac:dyDescent="0.25">
      <c r="A12" s="3">
        <v>10</v>
      </c>
      <c r="B12" s="152"/>
      <c r="C12" s="152"/>
      <c r="D12" s="153"/>
      <c r="E12" s="154"/>
      <c r="F12" s="154"/>
      <c r="G12" s="125" t="str">
        <f>IF(ISBLANK(D12),"",TRUNC(YEARFRAC(N1,D12)))</f>
        <v/>
      </c>
      <c r="H12" s="155"/>
      <c r="I12" s="156"/>
      <c r="J12" s="154"/>
      <c r="K12" s="130" t="e">
        <f>VLOOKUP(J12,N7:O14,2,FALSE)</f>
        <v>#N/A</v>
      </c>
      <c r="L12" s="154"/>
      <c r="M12" s="157"/>
      <c r="N12" s="35" t="s">
        <v>82</v>
      </c>
      <c r="O12" s="78">
        <v>5</v>
      </c>
    </row>
    <row r="13" spans="1:15" x14ac:dyDescent="0.25">
      <c r="A13" s="3">
        <v>11</v>
      </c>
      <c r="B13" s="152"/>
      <c r="C13" s="152"/>
      <c r="D13" s="153"/>
      <c r="E13" s="154"/>
      <c r="F13" s="154"/>
      <c r="G13" s="125" t="str">
        <f>IF(ISBLANK(D13),"",TRUNC(YEARFRAC(N1,D13)))</f>
        <v/>
      </c>
      <c r="H13" s="155"/>
      <c r="I13" s="156"/>
      <c r="J13" s="154"/>
      <c r="K13" s="130" t="e">
        <f>VLOOKUP(J13,N7:O14,2,FALSE)</f>
        <v>#N/A</v>
      </c>
      <c r="L13" s="154"/>
      <c r="M13" s="157"/>
      <c r="N13" s="35" t="s">
        <v>83</v>
      </c>
      <c r="O13" s="78">
        <v>6</v>
      </c>
    </row>
    <row r="14" spans="1:15" x14ac:dyDescent="0.25">
      <c r="A14" s="3">
        <v>12</v>
      </c>
      <c r="B14" s="152"/>
      <c r="C14" s="152"/>
      <c r="D14" s="153"/>
      <c r="E14" s="154"/>
      <c r="F14" s="154"/>
      <c r="G14" s="125" t="str">
        <f>IF(ISBLANK(D14),"",TRUNC(YEARFRAC(N1,D14)))</f>
        <v/>
      </c>
      <c r="H14" s="155"/>
      <c r="I14" s="156"/>
      <c r="J14" s="154"/>
      <c r="K14" s="130" t="e">
        <f>VLOOKUP(J14,N7:O14,2,FALSE)</f>
        <v>#N/A</v>
      </c>
      <c r="L14" s="154"/>
      <c r="M14" s="157"/>
      <c r="N14" s="35" t="s">
        <v>84</v>
      </c>
      <c r="O14" s="78">
        <v>7</v>
      </c>
    </row>
    <row r="15" spans="1:15" x14ac:dyDescent="0.25">
      <c r="A15" s="3">
        <v>13</v>
      </c>
      <c r="B15" s="152"/>
      <c r="C15" s="152"/>
      <c r="D15" s="153"/>
      <c r="E15" s="154"/>
      <c r="F15" s="154"/>
      <c r="G15" s="125" t="str">
        <f>IF(ISBLANK(D15),"",TRUNC(YEARFRAC(N1,D15)))</f>
        <v/>
      </c>
      <c r="H15" s="155"/>
      <c r="I15" s="156"/>
      <c r="J15" s="154"/>
      <c r="K15" s="130" t="e">
        <f>VLOOKUP(J15,N7:O14,2,FALSE)</f>
        <v>#N/A</v>
      </c>
      <c r="L15" s="154"/>
      <c r="M15" s="158"/>
    </row>
    <row r="16" spans="1:15" x14ac:dyDescent="0.25">
      <c r="A16" s="3">
        <v>14</v>
      </c>
      <c r="B16" s="152"/>
      <c r="C16" s="152"/>
      <c r="D16" s="153"/>
      <c r="E16" s="154"/>
      <c r="F16" s="154"/>
      <c r="G16" s="125" t="str">
        <f>IF(ISBLANK(D16),"",TRUNC(YEARFRAC(N1,D16)))</f>
        <v/>
      </c>
      <c r="H16" s="155"/>
      <c r="I16" s="156"/>
      <c r="J16" s="154"/>
      <c r="K16" s="130" t="e">
        <f>VLOOKUP(J16,N7:O14,2,FALSE)</f>
        <v>#N/A</v>
      </c>
      <c r="L16" s="154"/>
      <c r="M16" s="157"/>
      <c r="N16" t="s">
        <v>21</v>
      </c>
      <c r="O16" t="s">
        <v>28</v>
      </c>
    </row>
    <row r="17" spans="1:15" x14ac:dyDescent="0.25">
      <c r="A17" s="3">
        <v>15</v>
      </c>
      <c r="B17" s="152"/>
      <c r="C17" s="152"/>
      <c r="D17" s="153"/>
      <c r="E17" s="154"/>
      <c r="F17" s="154"/>
      <c r="G17" s="125" t="str">
        <f>IF(ISBLANK(D17),"",TRUNC(YEARFRAC(N1,D17)))</f>
        <v/>
      </c>
      <c r="H17" s="155"/>
      <c r="I17" s="156"/>
      <c r="J17" s="154"/>
      <c r="K17" s="130" t="e">
        <f>VLOOKUP(J17,N7:O14,2,FALSE)</f>
        <v>#N/A</v>
      </c>
      <c r="L17" s="154"/>
      <c r="M17" s="157"/>
      <c r="N17" t="s">
        <v>18</v>
      </c>
      <c r="O17" s="35" t="s">
        <v>58</v>
      </c>
    </row>
    <row r="18" spans="1:15" x14ac:dyDescent="0.25">
      <c r="A18" s="3">
        <v>16</v>
      </c>
      <c r="B18" s="152"/>
      <c r="C18" s="152"/>
      <c r="D18" s="153"/>
      <c r="E18" s="154"/>
      <c r="F18" s="154"/>
      <c r="G18" s="125" t="str">
        <f>IF(ISBLANK(D18),"",TRUNC(YEARFRAC(N1,D18)))</f>
        <v/>
      </c>
      <c r="H18" s="155"/>
      <c r="I18" s="156"/>
      <c r="J18" s="154"/>
      <c r="K18" s="130" t="e">
        <f>VLOOKUP(J18,N7:O14,2,FALSE)</f>
        <v>#N/A</v>
      </c>
      <c r="L18" s="154"/>
      <c r="M18" s="157"/>
      <c r="N18" s="35" t="s">
        <v>44</v>
      </c>
      <c r="O18" s="34" t="s">
        <v>40</v>
      </c>
    </row>
    <row r="19" spans="1:15" x14ac:dyDescent="0.25">
      <c r="A19" s="3">
        <v>17</v>
      </c>
      <c r="B19" s="152"/>
      <c r="C19" s="152"/>
      <c r="D19" s="153"/>
      <c r="E19" s="154"/>
      <c r="F19" s="154"/>
      <c r="G19" s="125" t="str">
        <f>IF(ISBLANK(D19),"",TRUNC(YEARFRAC(N1,D19)))</f>
        <v/>
      </c>
      <c r="H19" s="155"/>
      <c r="I19" s="156"/>
      <c r="J19" s="154"/>
      <c r="K19" s="130" t="e">
        <f>VLOOKUP(J19,N7:O14,2,FALSE)</f>
        <v>#N/A</v>
      </c>
      <c r="L19" s="154"/>
      <c r="M19" s="157"/>
      <c r="N19" s="35"/>
      <c r="O19" t="s">
        <v>23</v>
      </c>
    </row>
    <row r="20" spans="1:15" x14ac:dyDescent="0.25">
      <c r="A20" s="3">
        <v>18</v>
      </c>
      <c r="B20" s="152"/>
      <c r="C20" s="152"/>
      <c r="D20" s="153"/>
      <c r="E20" s="154"/>
      <c r="F20" s="154"/>
      <c r="G20" s="125" t="str">
        <f>IF(ISBLANK(D20),"",TRUNC(YEARFRAC(N1,D20)))</f>
        <v/>
      </c>
      <c r="H20" s="155"/>
      <c r="I20" s="156"/>
      <c r="J20" s="154"/>
      <c r="K20" s="130" t="e">
        <f>VLOOKUP(J20,N7:O14,2,FALSE)</f>
        <v>#N/A</v>
      </c>
      <c r="L20" s="154"/>
      <c r="M20" s="157"/>
      <c r="O20" t="s">
        <v>24</v>
      </c>
    </row>
    <row r="21" spans="1:15" x14ac:dyDescent="0.25">
      <c r="A21" s="3">
        <v>19</v>
      </c>
      <c r="B21" s="152"/>
      <c r="C21" s="152"/>
      <c r="D21" s="153"/>
      <c r="E21" s="154"/>
      <c r="F21" s="154"/>
      <c r="G21" s="125" t="str">
        <f>IF(ISBLANK(D21),"",TRUNC(YEARFRAC(N1,D21)))</f>
        <v/>
      </c>
      <c r="H21" s="155"/>
      <c r="I21" s="156"/>
      <c r="J21" s="154"/>
      <c r="K21" s="130" t="e">
        <f>VLOOKUP(J21,N7:O14,2,FALSE)</f>
        <v>#N/A</v>
      </c>
      <c r="L21" s="154"/>
      <c r="M21" s="157"/>
      <c r="O21" t="s">
        <v>25</v>
      </c>
    </row>
    <row r="22" spans="1:15" x14ac:dyDescent="0.25">
      <c r="A22" s="3">
        <v>20</v>
      </c>
      <c r="B22" s="152"/>
      <c r="C22" s="152"/>
      <c r="D22" s="153"/>
      <c r="E22" s="154"/>
      <c r="F22" s="154"/>
      <c r="G22" s="125" t="str">
        <f>IF(ISBLANK(D22),"",TRUNC(YEARFRAC(N1,D22)))</f>
        <v/>
      </c>
      <c r="H22" s="155"/>
      <c r="I22" s="156"/>
      <c r="J22" s="154"/>
      <c r="K22" s="130" t="e">
        <f>VLOOKUP(J22,N7:O14,2,FALSE)</f>
        <v>#N/A</v>
      </c>
      <c r="L22" s="154"/>
      <c r="M22" s="157"/>
      <c r="O22" t="s">
        <v>26</v>
      </c>
    </row>
    <row r="23" spans="1:15" s="46" customFormat="1" ht="96" customHeight="1" thickBot="1" x14ac:dyDescent="0.25">
      <c r="A23" s="43"/>
      <c r="B23" s="72">
        <f>COUNTA(B3:B22)</f>
        <v>0</v>
      </c>
      <c r="C23" s="72" t="str">
        <f>IF((COUNTA(B3:B22)&lt;9),"Below Minimum Number (ISA By-Law 1040)",IF((COUNTA(B3:B22)&gt;8),"Minimum Team Number Met (ISA By-Law 1040) and may be eligible for interclub competition",""))</f>
        <v>Below Minimum Number (ISA By-Law 1040)</v>
      </c>
      <c r="D23" s="73" t="str">
        <f>IF(COUNTA(B3:B22)&lt;&gt;COUNTA(D3:D22),"Must enter all DOB","All DOB Entered")</f>
        <v>All DOB Entered</v>
      </c>
      <c r="E23" s="74" t="str">
        <f>IF(COUNTA(B3:B22)&lt;&gt;COUNTA(E3:E22),"All team members must belong to the same Member(ISA By-Law 1004)","All Member Numbers Entered")</f>
        <v>All Member Numbers Entered</v>
      </c>
      <c r="F23" s="74" t="str">
        <f>IF(COUNTA(B3:B22)&lt;&gt;COUNTA(F3:F22),"Must enter all POA","All POA Entered")</f>
        <v>All POA Entered</v>
      </c>
      <c r="G23" s="72" t="str">
        <f>IF(COUNTIF((G3:G22),"&gt;12")&gt;0,"Ages Incorrect. Team Ineligible to enter. (ISA By-Law 1040)","Team ages correct for AUS competition and may be eligible for interclub competition")</f>
        <v>Team ages correct for AUS competition and may be eligible for interclub competition</v>
      </c>
      <c r="H23" s="72" t="str">
        <f>IF(COUNTIF(H3:H22,"Perm Res")+COUNTIF(H3:H22,"Temp Visa")&gt;((B23-(B23-16))*0.5),"Citizenship incorrect. Excluding alternates, at least 50% must be Australian Citizens (ISA By-Law 1011.3)", IF(COUNTIF(H3:H22,"Temp Visa")&gt;(COUNTA(B3:B22)*0.25),"Citizenship incorrect. Excluding alternates, maximum 25% may not have permanent residency (ISA By-Law 1011.3)", IF(COUNTIF(H3:H22,"Perm Res")+COUNTIF(H3:H22,"Temp Visa")&gt;(COUNTA(B3:B22)*0.25),"Due to citizenship %, Team eligible for AFSC only","Citizenship percentage correct for international competition (CER Article 8.2.4)")))</f>
        <v>Citizenship percentage correct for international competition (CER Article 8.2.4)</v>
      </c>
      <c r="I23" s="75" t="s">
        <v>89</v>
      </c>
      <c r="J23" s="72" t="str">
        <f>IF((COUNTIF((K3:K22),"&gt;1")&gt;(ROUND(COUNTA(B3:B22)*0.5,0))),"Team ineligible. Maximum of 50% of members must not have Elementary or higher (ISA By-Law 1039)","Test levels correct. Team eligible.")</f>
        <v>Test levels correct. Team eligible.</v>
      </c>
      <c r="K23" s="76"/>
      <c r="L23" s="72" t="str">
        <f>IF((COUNTIF(L3:L22,"Yes")&gt;ROUND(COUNTA(B3:B22)*0.25,0)),"Team Composition Ineligible (ISA By-Law 1040)","Team Composition Eligible (ISA By-Law 1040)")</f>
        <v>Team Composition Eligible (ISA By-Law 1040)</v>
      </c>
      <c r="M23" s="114" t="str">
        <f>IF(COUNTA(L3:L22)&gt;COUNTA(M3:M22),"Must give name and division of other team(s).","")</f>
        <v/>
      </c>
      <c r="N23" s="48"/>
      <c r="O23" s="34" t="s">
        <v>27</v>
      </c>
    </row>
    <row r="24" spans="1:15" ht="13.8" thickTop="1" x14ac:dyDescent="0.25"/>
    <row r="25" spans="1:15" x14ac:dyDescent="0.25">
      <c r="A25" s="5" t="s">
        <v>14</v>
      </c>
      <c r="K25" s="24"/>
      <c r="L25" s="24"/>
    </row>
    <row r="26" spans="1:15" ht="15" customHeight="1" x14ac:dyDescent="0.25">
      <c r="A26" s="5" t="s">
        <v>42</v>
      </c>
      <c r="D26" s="12"/>
      <c r="E26" s="12"/>
      <c r="F26" s="12"/>
      <c r="G26" s="38"/>
      <c r="H26" s="2" t="s">
        <v>8</v>
      </c>
      <c r="I26" s="40"/>
      <c r="J26" s="12"/>
      <c r="K26" s="25"/>
      <c r="L26" s="25"/>
      <c r="M26" s="12"/>
    </row>
    <row r="27" spans="1:15" s="6" customFormat="1" ht="15" customHeight="1" x14ac:dyDescent="0.25">
      <c r="A27" s="6" t="s">
        <v>43</v>
      </c>
      <c r="D27" s="13"/>
      <c r="E27" s="13"/>
      <c r="F27" s="13"/>
      <c r="G27" s="39"/>
      <c r="H27" s="2" t="s">
        <v>8</v>
      </c>
      <c r="I27" s="41"/>
      <c r="J27" s="13"/>
      <c r="K27" s="26"/>
      <c r="L27" s="26"/>
      <c r="M27" s="13"/>
      <c r="N27"/>
    </row>
  </sheetData>
  <sheetProtection algorithmName="SHA-512" hashValue="iZ+6D+zLi7GmmSm6X2oh7NwVgtV2+2X2xTqUvdX1hQhfyCDKsb0GjFszXoP2L0fY2Tv7X5IrHLcESM1we5Qn0w==" saltValue="8ZPjuKaxypNaVIJQ85fs/w==" spinCount="100000" sheet="1" selectLockedCells="1" sort="0"/>
  <mergeCells count="1">
    <mergeCell ref="B1:I1"/>
  </mergeCells>
  <conditionalFormatting sqref="B23">
    <cfRule type="cellIs" dxfId="171" priority="21" stopIfTrue="1" operator="lessThan">
      <formula>9</formula>
    </cfRule>
    <cfRule type="cellIs" dxfId="170" priority="22" stopIfTrue="1" operator="greaterThanOrEqual">
      <formula>9</formula>
    </cfRule>
  </conditionalFormatting>
  <conditionalFormatting sqref="C23">
    <cfRule type="cellIs" dxfId="169" priority="24" stopIfTrue="1" operator="notEqual">
      <formula>"Minimum Team Number Met"</formula>
    </cfRule>
    <cfRule type="cellIs" dxfId="168" priority="23" stopIfTrue="1" operator="greaterThanOrEqual">
      <formula>"Minimum Team Number Met"</formula>
    </cfRule>
  </conditionalFormatting>
  <conditionalFormatting sqref="D23">
    <cfRule type="cellIs" dxfId="167" priority="27" stopIfTrue="1" operator="equal">
      <formula>"All DOB Entered"</formula>
    </cfRule>
    <cfRule type="cellIs" dxfId="166" priority="26" stopIfTrue="1" operator="equal">
      <formula>"Must enter all DOB"</formula>
    </cfRule>
  </conditionalFormatting>
  <conditionalFormatting sqref="E23">
    <cfRule type="cellIs" dxfId="165" priority="29" stopIfTrue="1" operator="equal">
      <formula>"All Member Numbers Entered"</formula>
    </cfRule>
    <cfRule type="cellIs" dxfId="164" priority="28" stopIfTrue="1" operator="equal">
      <formula>"All team members must belong to the same Member(ISA By-Law 1052)"</formula>
    </cfRule>
  </conditionalFormatting>
  <conditionalFormatting sqref="F23">
    <cfRule type="cellIs" dxfId="163" priority="31" stopIfTrue="1" operator="equal">
      <formula>"All POA Entered"</formula>
    </cfRule>
    <cfRule type="cellIs" dxfId="162" priority="30" stopIfTrue="1" operator="equal">
      <formula>"Must enter all POA"</formula>
    </cfRule>
  </conditionalFormatting>
  <conditionalFormatting sqref="G3:G22">
    <cfRule type="cellIs" dxfId="161" priority="8" stopIfTrue="1" operator="lessThan">
      <formula>12</formula>
    </cfRule>
    <cfRule type="cellIs" dxfId="160" priority="10" stopIfTrue="1" operator="greaterThanOrEqual">
      <formula>13</formula>
    </cfRule>
  </conditionalFormatting>
  <conditionalFormatting sqref="G23">
    <cfRule type="cellIs" dxfId="159" priority="32" stopIfTrue="1" operator="equal">
      <formula>"Ages incorrect. Team Ineligible to enter. (ISA By-Law 1040)"</formula>
    </cfRule>
    <cfRule type="cellIs" dxfId="158" priority="33" stopIfTrue="1" operator="equal">
      <formula>"Team eligible for AFSC but ineligible for International Competition (CER Article 9.4)"</formula>
    </cfRule>
    <cfRule type="cellIs" dxfId="157" priority="34" stopIfTrue="1" operator="equal">
      <formula>"Team ages correct for AUS competition and may be eligible for interclub competition"</formula>
    </cfRule>
  </conditionalFormatting>
  <conditionalFormatting sqref="H3:H22">
    <cfRule type="cellIs" dxfId="156" priority="7" operator="equal">
      <formula>"Perm Res"</formula>
    </cfRule>
    <cfRule type="cellIs" dxfId="155" priority="19" operator="equal">
      <formula>"Temp Visa"</formula>
    </cfRule>
    <cfRule type="cellIs" dxfId="154" priority="20" operator="equal">
      <formula>"Yes"</formula>
    </cfRule>
  </conditionalFormatting>
  <conditionalFormatting sqref="H23">
    <cfRule type="cellIs" dxfId="153" priority="1" stopIfTrue="1" operator="equal">
      <formula>"Citizenship incorrect. Excluding alternates, at least 50% must be Australian Citizens (ISA By-Law 1011.3)"</formula>
    </cfRule>
    <cfRule type="cellIs" dxfId="152" priority="2" stopIfTrue="1" operator="equal">
      <formula>"Citizenship incorrect. Excluding alternates, maximum 25% may not have permanent residency (ISA By-Law 1011.3)"</formula>
    </cfRule>
    <cfRule type="cellIs" dxfId="151" priority="3" stopIfTrue="1" operator="equal">
      <formula>"Due to citizenship %, Team eligible for AFSC only"</formula>
    </cfRule>
    <cfRule type="cellIs" dxfId="150" priority="4" stopIfTrue="1" operator="equal">
      <formula>"Citizenship percentage correct for international competition (CER Article 8.2.4)"</formula>
    </cfRule>
  </conditionalFormatting>
  <conditionalFormatting sqref="H3:I22">
    <cfRule type="cellIs" dxfId="149" priority="13" stopIfTrue="1" operator="lessThan">
      <formula>16</formula>
    </cfRule>
  </conditionalFormatting>
  <conditionalFormatting sqref="I3:I22">
    <cfRule type="cellIs" dxfId="148" priority="37" stopIfTrue="1" operator="equal">
      <formula>#REF!</formula>
    </cfRule>
    <cfRule type="cellIs" dxfId="147" priority="38" stopIfTrue="1" operator="equal">
      <formula>#REF!</formula>
    </cfRule>
    <cfRule type="cellIs" dxfId="146" priority="39" stopIfTrue="1" operator="equal">
      <formula>#REF!</formula>
    </cfRule>
  </conditionalFormatting>
  <conditionalFormatting sqref="I23">
    <cfRule type="cellIs" dxfId="145" priority="25" stopIfTrue="1" operator="equal">
      <formula>"ISU Member or ISA Permission Required"</formula>
    </cfRule>
  </conditionalFormatting>
  <conditionalFormatting sqref="J23">
    <cfRule type="cellIs" dxfId="144" priority="42" stopIfTrue="1" operator="equal">
      <formula>"Team ineligible. Maximum of 50% of members must not have Elementary or higher (ISA By-Law 1039)"</formula>
    </cfRule>
    <cfRule type="cellIs" dxfId="143" priority="43" stopIfTrue="1" operator="equal">
      <formula>"Test levels correct. Team eligible."</formula>
    </cfRule>
  </conditionalFormatting>
  <conditionalFormatting sqref="L3:L22">
    <cfRule type="cellIs" dxfId="142" priority="16" operator="equal">
      <formula>"Yes"</formula>
    </cfRule>
    <cfRule type="cellIs" dxfId="141" priority="15" operator="equal">
      <formula>"No"</formula>
    </cfRule>
  </conditionalFormatting>
  <conditionalFormatting sqref="L23">
    <cfRule type="cellIs" dxfId="140" priority="18" operator="equal">
      <formula>"Team composition ineligible (ISA By-Law 1040)"</formula>
    </cfRule>
    <cfRule type="cellIs" dxfId="139" priority="17" operator="equal">
      <formula>"Team composition eligible (ISA By-Law 1040)"</formula>
    </cfRule>
  </conditionalFormatting>
  <conditionalFormatting sqref="M23">
    <cfRule type="cellIs" dxfId="138" priority="14" operator="equal">
      <formula>"Must give name and division of other team(s)."</formula>
    </cfRule>
  </conditionalFormatting>
  <conditionalFormatting sqref="Q23">
    <cfRule type="cellIs" dxfId="137" priority="40" stopIfTrue="1" operator="equal">
      <formula>"Team Composition Ineligible (ISA Rule 1043.1)"</formula>
    </cfRule>
    <cfRule type="cellIs" dxfId="136" priority="41" stopIfTrue="1" operator="equal">
      <formula>"Team Eligible"</formula>
    </cfRule>
  </conditionalFormatting>
  <dataValidations xWindow="854" yWindow="437" count="8">
    <dataValidation type="list" allowBlank="1" showInputMessage="1" showErrorMessage="1" sqref="M1" xr:uid="{0B7A3C70-0D4A-4B4A-87F0-77739FD7C2C8}">
      <formula1>$O$16:$O$23</formula1>
    </dataValidation>
    <dataValidation type="list" allowBlank="1" showInputMessage="1" showErrorMessage="1" sqref="I3:I22" xr:uid="{21907195-400B-4F26-BAB1-1E99D0909060}">
      <formula1>$N$16:$N$19</formula1>
    </dataValidation>
    <dataValidation type="list" allowBlank="1" showErrorMessage="1" prompt="_x000a_" sqref="J3:J22" xr:uid="{E2E2D2E5-C9C9-473F-A6BE-73F1B9020DD4}">
      <formula1>$N$7:$N$14</formula1>
    </dataValidation>
    <dataValidation type="list" allowBlank="1" showInputMessage="1" showErrorMessage="1" prompt="Put Yes or leave blank if No." sqref="L3:L22" xr:uid="{38DE7082-B67B-4833-9A9D-6948E6EFD264}">
      <formula1>$N$3</formula1>
    </dataValidation>
    <dataValidation type="date" allowBlank="1" showInputMessage="1" showErrorMessage="1" prompt="dd/mm/yyyy" sqref="D3:D22" xr:uid="{513772D7-BFC0-4102-9F37-940FE2E3F454}">
      <formula1>1</formula1>
      <formula2>73051</formula2>
    </dataValidation>
    <dataValidation allowBlank="1" showInputMessage="1" showErrorMessage="1" prompt="yyyy_x000a_" sqref="N1" xr:uid="{E3D3989C-9B97-4DB0-BB07-287690E95E50}"/>
    <dataValidation allowBlank="1" showInputMessage="1" showErrorMessage="1" prompt="Give team names and divisions S, J, AN, BN, A or M in brackets_x000a_Eg Knightmoves (S)_x000a_" sqref="M3:M22" xr:uid="{50186DDD-164B-4767-8C50-F5E43F1A5F71}"/>
    <dataValidation type="list" allowBlank="1" showInputMessage="1" showErrorMessage="1" prompt="Yes_x000a_Permanent Resident_x000a_Temporary Visa_x000a_" sqref="H3:H22" xr:uid="{42AE033E-B40E-4A44-9FFD-64CC530DB626}">
      <formula1>$N$3:$N$5</formula1>
    </dataValidation>
  </dataValidations>
  <printOptions horizontalCentered="1" verticalCentered="1"/>
  <pageMargins left="0.35433070866141736" right="0.27559055118110237" top="1.2204724409448819" bottom="0.27559055118110237" header="0.27559055118110237" footer="0.15748031496062992"/>
  <pageSetup paperSize="9" scale="81" orientation="landscape" horizontalDpi="4294967293" verticalDpi="4294967293" r:id="rId1"/>
  <headerFooter alignWithMargins="0">
    <oddHeader>&amp;L&amp;G&amp;C&amp;"Arial,Bold"&amp;12  Ice Skating Australia Limited
Affiliated to the International Skating Union
Synchronized Skating
Form Document: &amp;F&amp;R&amp;"Arial,Bold"&amp;12&amp;A</oddHeader>
    <oddFooter>&amp;C&amp;D</oddFooter>
  </headerFooter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00B050"/>
    <pageSetUpPr fitToPage="1"/>
  </sheetPr>
  <dimension ref="A1:O28"/>
  <sheetViews>
    <sheetView zoomScale="85" zoomScaleNormal="85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B3" sqref="B3"/>
    </sheetView>
  </sheetViews>
  <sheetFormatPr defaultRowHeight="13.2" x14ac:dyDescent="0.25"/>
  <cols>
    <col min="1" max="1" width="5.6640625" style="4" customWidth="1"/>
    <col min="2" max="2" width="18.6640625" style="4" customWidth="1"/>
    <col min="3" max="3" width="18.6640625" customWidth="1"/>
    <col min="4" max="8" width="11.6640625" customWidth="1"/>
    <col min="9" max="9" width="18.6640625" customWidth="1"/>
    <col min="10" max="10" width="24.6640625" customWidth="1"/>
    <col min="11" max="11" width="12.33203125" hidden="1" customWidth="1"/>
    <col min="12" max="12" width="11.6640625" customWidth="1"/>
    <col min="13" max="13" width="18.6640625" customWidth="1"/>
    <col min="14" max="14" width="30.33203125" hidden="1" customWidth="1"/>
    <col min="15" max="15" width="8.88671875" hidden="1" customWidth="1"/>
    <col min="16" max="16" width="9" customWidth="1"/>
  </cols>
  <sheetData>
    <row r="1" spans="1:15" s="2" customFormat="1" ht="14.4" thickTop="1" thickBot="1" x14ac:dyDescent="0.3">
      <c r="A1" s="60" t="s">
        <v>6</v>
      </c>
      <c r="B1" s="244"/>
      <c r="C1" s="245"/>
      <c r="D1" s="245"/>
      <c r="E1" s="245"/>
      <c r="F1" s="245"/>
      <c r="G1" s="245"/>
      <c r="H1" s="245"/>
      <c r="I1" s="245"/>
      <c r="J1" s="61" t="s">
        <v>88</v>
      </c>
      <c r="K1" s="102"/>
      <c r="L1" s="61" t="s">
        <v>57</v>
      </c>
      <c r="M1" s="106"/>
      <c r="N1" s="111">
        <v>46203</v>
      </c>
    </row>
    <row r="2" spans="1:15" s="47" customFormat="1" ht="51" customHeight="1" x14ac:dyDescent="0.25">
      <c r="A2" s="57"/>
      <c r="B2" s="58" t="s">
        <v>70</v>
      </c>
      <c r="C2" s="58" t="s">
        <v>49</v>
      </c>
      <c r="D2" s="58" t="s">
        <v>12</v>
      </c>
      <c r="E2" s="58" t="s">
        <v>13</v>
      </c>
      <c r="F2" s="58" t="s">
        <v>11</v>
      </c>
      <c r="G2" s="58" t="s">
        <v>46</v>
      </c>
      <c r="H2" s="58" t="s">
        <v>66</v>
      </c>
      <c r="I2" s="59" t="s">
        <v>17</v>
      </c>
      <c r="J2" s="58" t="s">
        <v>45</v>
      </c>
      <c r="K2" s="59" t="s">
        <v>39</v>
      </c>
      <c r="L2" s="64" t="s">
        <v>50</v>
      </c>
      <c r="M2" s="107" t="s">
        <v>48</v>
      </c>
    </row>
    <row r="3" spans="1:15" s="4" customFormat="1" x14ac:dyDescent="0.25">
      <c r="A3" s="3">
        <v>1</v>
      </c>
      <c r="B3" s="159"/>
      <c r="C3" s="159"/>
      <c r="D3" s="160"/>
      <c r="E3" s="126"/>
      <c r="F3" s="161"/>
      <c r="G3" s="125" t="str">
        <f>IF(ISBLANK(D3),"",TRUNC(YEARFRAC(N1,D3)))</f>
        <v/>
      </c>
      <c r="H3" s="126"/>
      <c r="I3" s="51"/>
      <c r="J3" s="124"/>
      <c r="K3" s="124" t="e">
        <f>VLOOKUP(J3,N7:O14,2,FALSE)</f>
        <v>#N/A</v>
      </c>
      <c r="L3" s="124"/>
      <c r="M3" s="134"/>
      <c r="N3" s="4" t="s">
        <v>7</v>
      </c>
    </row>
    <row r="4" spans="1:15" x14ac:dyDescent="0.25">
      <c r="A4" s="3">
        <v>2</v>
      </c>
      <c r="B4" s="159"/>
      <c r="C4" s="162"/>
      <c r="D4" s="160"/>
      <c r="E4" s="126"/>
      <c r="F4" s="161"/>
      <c r="G4" s="125" t="str">
        <f>IF(ISBLANK(D4),"",TRUNC(YEARFRAC(N1,D4)))</f>
        <v/>
      </c>
      <c r="H4" s="126"/>
      <c r="I4" s="51"/>
      <c r="J4" s="124"/>
      <c r="K4" s="124" t="e">
        <f>VLOOKUP(J4,N7:O14,2,FALSE)</f>
        <v>#N/A</v>
      </c>
      <c r="L4" s="124"/>
      <c r="M4" s="134"/>
      <c r="N4" s="4" t="s">
        <v>64</v>
      </c>
    </row>
    <row r="5" spans="1:15" x14ac:dyDescent="0.25">
      <c r="A5" s="3">
        <v>3</v>
      </c>
      <c r="B5" s="159"/>
      <c r="C5" s="162"/>
      <c r="D5" s="160"/>
      <c r="E5" s="126"/>
      <c r="F5" s="161"/>
      <c r="G5" s="125" t="str">
        <f>IF(ISBLANK(D5),"",TRUNC(YEARFRAC(N1,D5)))</f>
        <v/>
      </c>
      <c r="H5" s="126"/>
      <c r="I5" s="51"/>
      <c r="J5" s="124"/>
      <c r="K5" s="124" t="e">
        <f>VLOOKUP(J5,N7:O14,2,FALSE)</f>
        <v>#N/A</v>
      </c>
      <c r="L5" s="124"/>
      <c r="M5" s="134"/>
      <c r="N5" s="4" t="s">
        <v>65</v>
      </c>
    </row>
    <row r="6" spans="1:15" x14ac:dyDescent="0.25">
      <c r="A6" s="3">
        <v>4</v>
      </c>
      <c r="B6" s="159"/>
      <c r="C6" s="162"/>
      <c r="D6" s="160"/>
      <c r="E6" s="126"/>
      <c r="F6" s="161"/>
      <c r="G6" s="125" t="str">
        <f>IF(ISBLANK(D6),"",TRUNC(YEARFRAC(N1,D6)))</f>
        <v/>
      </c>
      <c r="H6" s="126"/>
      <c r="I6" s="51"/>
      <c r="J6" s="124"/>
      <c r="K6" s="124" t="e">
        <f>VLOOKUP(J6,N7:O14,2,FALSE)</f>
        <v>#N/A</v>
      </c>
      <c r="L6" s="124"/>
      <c r="M6" s="134"/>
      <c r="N6" s="6" t="s">
        <v>19</v>
      </c>
      <c r="O6" s="23" t="s">
        <v>20</v>
      </c>
    </row>
    <row r="7" spans="1:15" x14ac:dyDescent="0.25">
      <c r="A7" s="3">
        <v>5</v>
      </c>
      <c r="B7" s="159"/>
      <c r="C7" s="162"/>
      <c r="D7" s="160"/>
      <c r="E7" s="126"/>
      <c r="F7" s="161"/>
      <c r="G7" s="125" t="str">
        <f>IF(ISBLANK(D7),"",TRUNC(YEARFRAC(N1,D7)))</f>
        <v/>
      </c>
      <c r="H7" s="126"/>
      <c r="I7" s="51"/>
      <c r="J7" s="124"/>
      <c r="K7" s="124" t="e">
        <f>VLOOKUP(J7,N7:O14,2,FALSE)</f>
        <v>#N/A</v>
      </c>
      <c r="L7" s="124"/>
      <c r="M7" s="134"/>
      <c r="N7" t="s">
        <v>16</v>
      </c>
      <c r="O7" s="27">
        <v>0</v>
      </c>
    </row>
    <row r="8" spans="1:15" x14ac:dyDescent="0.25">
      <c r="A8" s="3">
        <v>6</v>
      </c>
      <c r="B8" s="159"/>
      <c r="C8" s="162"/>
      <c r="D8" s="160"/>
      <c r="E8" s="126"/>
      <c r="F8" s="161"/>
      <c r="G8" s="125" t="str">
        <f>IF(ISBLANK(D8),"",TRUNC(YEARFRAC(N1,D8)))</f>
        <v/>
      </c>
      <c r="H8" s="126"/>
      <c r="I8" s="51"/>
      <c r="J8" s="124"/>
      <c r="K8" s="124" t="e">
        <f>VLOOKUP(J8,N7:O14,2,FALSE)</f>
        <v>#N/A</v>
      </c>
      <c r="L8" s="124"/>
      <c r="M8" s="134"/>
      <c r="N8" s="35" t="s">
        <v>78</v>
      </c>
      <c r="O8" s="27">
        <v>1</v>
      </c>
    </row>
    <row r="9" spans="1:15" x14ac:dyDescent="0.25">
      <c r="A9" s="3">
        <v>7</v>
      </c>
      <c r="B9" s="159"/>
      <c r="C9" s="162"/>
      <c r="D9" s="160"/>
      <c r="E9" s="126"/>
      <c r="F9" s="161"/>
      <c r="G9" s="125" t="str">
        <f>IF(ISBLANK(D9),"",TRUNC(YEARFRAC(N1,D9)))</f>
        <v/>
      </c>
      <c r="H9" s="126"/>
      <c r="I9" s="51"/>
      <c r="J9" s="124"/>
      <c r="K9" s="124" t="e">
        <f>VLOOKUP(J9,N7:O14,2,FALSE)</f>
        <v>#N/A</v>
      </c>
      <c r="L9" s="124"/>
      <c r="M9" s="134"/>
      <c r="N9" t="s">
        <v>79</v>
      </c>
      <c r="O9" s="27">
        <v>2</v>
      </c>
    </row>
    <row r="10" spans="1:15" x14ac:dyDescent="0.25">
      <c r="A10" s="3">
        <v>8</v>
      </c>
      <c r="B10" s="159"/>
      <c r="C10" s="162"/>
      <c r="D10" s="160"/>
      <c r="E10" s="126"/>
      <c r="F10" s="161"/>
      <c r="G10" s="125" t="str">
        <f>IF(ISBLANK(D10),"",TRUNC(YEARFRAC(N1,D10)))</f>
        <v/>
      </c>
      <c r="H10" s="126"/>
      <c r="I10" s="51"/>
      <c r="J10" s="124"/>
      <c r="K10" s="124" t="e">
        <f>VLOOKUP(J10,N7:O14,2,FALSE)</f>
        <v>#N/A</v>
      </c>
      <c r="L10" s="124"/>
      <c r="M10" s="134"/>
      <c r="N10" s="35" t="s">
        <v>80</v>
      </c>
      <c r="O10" s="27">
        <v>3</v>
      </c>
    </row>
    <row r="11" spans="1:15" x14ac:dyDescent="0.25">
      <c r="A11" s="3">
        <v>9</v>
      </c>
      <c r="B11" s="159"/>
      <c r="C11" s="162"/>
      <c r="D11" s="160"/>
      <c r="E11" s="126"/>
      <c r="F11" s="161"/>
      <c r="G11" s="125" t="str">
        <f>IF(ISBLANK(D11),"",TRUNC(YEARFRAC(N1,D11)))</f>
        <v/>
      </c>
      <c r="H11" s="126"/>
      <c r="I11" s="51"/>
      <c r="J11" s="163"/>
      <c r="K11" s="124" t="e">
        <f>VLOOKUP(J11,N7:O14,2,FALSE)</f>
        <v>#N/A</v>
      </c>
      <c r="L11" s="124"/>
      <c r="M11" s="134"/>
      <c r="N11" s="35" t="s">
        <v>81</v>
      </c>
      <c r="O11" s="27">
        <v>4</v>
      </c>
    </row>
    <row r="12" spans="1:15" x14ac:dyDescent="0.25">
      <c r="A12" s="3">
        <v>10</v>
      </c>
      <c r="B12" s="164"/>
      <c r="C12" s="165"/>
      <c r="D12" s="166"/>
      <c r="E12" s="131"/>
      <c r="F12" s="167"/>
      <c r="G12" s="125" t="str">
        <f>IF(ISBLANK(D12),"",TRUNC(YEARFRAC(N1,D12)))</f>
        <v/>
      </c>
      <c r="H12" s="131"/>
      <c r="I12" s="52"/>
      <c r="J12" s="130"/>
      <c r="K12" s="130" t="e">
        <f>VLOOKUP(J12,N7:O14,2,FALSE)</f>
        <v>#N/A</v>
      </c>
      <c r="L12" s="130"/>
      <c r="M12" s="136"/>
      <c r="N12" s="35" t="s">
        <v>82</v>
      </c>
      <c r="O12" s="27">
        <v>5</v>
      </c>
    </row>
    <row r="13" spans="1:15" x14ac:dyDescent="0.25">
      <c r="A13" s="3">
        <v>11</v>
      </c>
      <c r="B13" s="164"/>
      <c r="C13" s="165"/>
      <c r="D13" s="166"/>
      <c r="E13" s="131"/>
      <c r="F13" s="167"/>
      <c r="G13" s="125" t="str">
        <f>IF(ISBLANK(D13),"",TRUNC(YEARFRAC(N1,D13)))</f>
        <v/>
      </c>
      <c r="H13" s="131"/>
      <c r="I13" s="52"/>
      <c r="J13" s="130"/>
      <c r="K13" s="130" t="e">
        <f>VLOOKUP(J13,N7:O14,2,FALSE)</f>
        <v>#N/A</v>
      </c>
      <c r="L13" s="130"/>
      <c r="M13" s="136"/>
      <c r="N13" s="35" t="s">
        <v>83</v>
      </c>
      <c r="O13" s="27">
        <v>6</v>
      </c>
    </row>
    <row r="14" spans="1:15" x14ac:dyDescent="0.25">
      <c r="A14" s="3">
        <v>12</v>
      </c>
      <c r="B14" s="164"/>
      <c r="C14" s="165"/>
      <c r="D14" s="166"/>
      <c r="E14" s="131"/>
      <c r="F14" s="167"/>
      <c r="G14" s="125" t="str">
        <f>IF(ISBLANK(D14),"",TRUNC(YEARFRAC(N1,D14)))</f>
        <v/>
      </c>
      <c r="H14" s="131"/>
      <c r="I14" s="52"/>
      <c r="J14" s="130"/>
      <c r="K14" s="130" t="e">
        <f>VLOOKUP(J14,N7:O14,2,FALSE)</f>
        <v>#N/A</v>
      </c>
      <c r="L14" s="130"/>
      <c r="M14" s="136"/>
      <c r="N14" s="35" t="s">
        <v>84</v>
      </c>
      <c r="O14" s="27">
        <v>7</v>
      </c>
    </row>
    <row r="15" spans="1:15" x14ac:dyDescent="0.25">
      <c r="A15" s="3">
        <v>13</v>
      </c>
      <c r="B15" s="164"/>
      <c r="C15" s="165"/>
      <c r="D15" s="166"/>
      <c r="E15" s="130"/>
      <c r="F15" s="167"/>
      <c r="G15" s="125" t="str">
        <f>IF(ISBLANK(D15),"",TRUNC(YEARFRAC(N1,D15)))</f>
        <v/>
      </c>
      <c r="H15" s="131"/>
      <c r="I15" s="52"/>
      <c r="J15" s="130"/>
      <c r="K15" s="130" t="e">
        <f>VLOOKUP(J15,N7:O14,2,FALSE)</f>
        <v>#N/A</v>
      </c>
      <c r="L15" s="130"/>
      <c r="M15" s="135"/>
    </row>
    <row r="16" spans="1:15" x14ac:dyDescent="0.25">
      <c r="A16" s="3">
        <v>14</v>
      </c>
      <c r="B16" s="164"/>
      <c r="C16" s="165"/>
      <c r="D16" s="166"/>
      <c r="E16" s="130"/>
      <c r="F16" s="167"/>
      <c r="G16" s="125" t="str">
        <f>IF(ISBLANK(D16),"",TRUNC(YEARFRAC(N1,D16)))</f>
        <v/>
      </c>
      <c r="H16" s="131"/>
      <c r="I16" s="52"/>
      <c r="J16" s="130"/>
      <c r="K16" s="130" t="e">
        <f>VLOOKUP(J16,N7:O14,2,FALSE)</f>
        <v>#N/A</v>
      </c>
      <c r="L16" s="130"/>
      <c r="M16" s="136"/>
      <c r="N16" t="s">
        <v>21</v>
      </c>
      <c r="O16" t="s">
        <v>28</v>
      </c>
    </row>
    <row r="17" spans="1:15" x14ac:dyDescent="0.25">
      <c r="A17" s="3">
        <v>15</v>
      </c>
      <c r="B17" s="164"/>
      <c r="C17" s="165"/>
      <c r="D17" s="166"/>
      <c r="E17" s="130"/>
      <c r="F17" s="167"/>
      <c r="G17" s="125" t="str">
        <f>IF(ISBLANK(D17),"",TRUNC(YEARFRAC(N1,D17)))</f>
        <v/>
      </c>
      <c r="H17" s="131"/>
      <c r="I17" s="52"/>
      <c r="J17" s="130"/>
      <c r="K17" s="130" t="e">
        <f>VLOOKUP(J17,N7:O14,2,FALSE)</f>
        <v>#N/A</v>
      </c>
      <c r="L17" s="130"/>
      <c r="M17" s="136"/>
      <c r="N17" t="s">
        <v>18</v>
      </c>
      <c r="O17" s="35" t="s">
        <v>58</v>
      </c>
    </row>
    <row r="18" spans="1:15" x14ac:dyDescent="0.25">
      <c r="A18" s="3">
        <v>16</v>
      </c>
      <c r="B18" s="164"/>
      <c r="C18" s="165"/>
      <c r="D18" s="166"/>
      <c r="E18" s="130"/>
      <c r="F18" s="167"/>
      <c r="G18" s="125" t="str">
        <f>IF(ISBLANK(D18),"",TRUNC(YEARFRAC(N1,D18)))</f>
        <v/>
      </c>
      <c r="H18" s="131"/>
      <c r="I18" s="52"/>
      <c r="J18" s="130"/>
      <c r="K18" s="130" t="e">
        <f>VLOOKUP(J18,N7:O14,2,FALSE)</f>
        <v>#N/A</v>
      </c>
      <c r="L18" s="130"/>
      <c r="M18" s="136"/>
      <c r="N18" s="35" t="s">
        <v>44</v>
      </c>
      <c r="O18" s="34" t="s">
        <v>40</v>
      </c>
    </row>
    <row r="19" spans="1:15" x14ac:dyDescent="0.25">
      <c r="A19" s="3">
        <v>17</v>
      </c>
      <c r="B19" s="164"/>
      <c r="C19" s="165"/>
      <c r="D19" s="166"/>
      <c r="E19" s="130"/>
      <c r="F19" s="167"/>
      <c r="G19" s="125" t="str">
        <f>IF(ISBLANK(D19),"",TRUNC(YEARFRAC(N1,D19)))</f>
        <v/>
      </c>
      <c r="H19" s="131"/>
      <c r="I19" s="52"/>
      <c r="J19" s="130"/>
      <c r="K19" s="130" t="e">
        <f>VLOOKUP(J19,N7:O14,2,FALSE)</f>
        <v>#N/A</v>
      </c>
      <c r="L19" s="130"/>
      <c r="M19" s="136"/>
      <c r="N19" s="35"/>
      <c r="O19" t="s">
        <v>23</v>
      </c>
    </row>
    <row r="20" spans="1:15" x14ac:dyDescent="0.25">
      <c r="A20" s="3">
        <v>18</v>
      </c>
      <c r="B20" s="164"/>
      <c r="C20" s="165"/>
      <c r="D20" s="166"/>
      <c r="E20" s="130"/>
      <c r="F20" s="167"/>
      <c r="G20" s="125" t="str">
        <f>IF(ISBLANK(D20),"",TRUNC(YEARFRAC(N1,D20)))</f>
        <v/>
      </c>
      <c r="H20" s="131"/>
      <c r="I20" s="52"/>
      <c r="J20" s="130"/>
      <c r="K20" s="130" t="e">
        <f>VLOOKUP(J20,N7:O14,2,FALSE)</f>
        <v>#N/A</v>
      </c>
      <c r="L20" s="130"/>
      <c r="M20" s="136"/>
      <c r="O20" t="s">
        <v>24</v>
      </c>
    </row>
    <row r="21" spans="1:15" x14ac:dyDescent="0.25">
      <c r="A21" s="3">
        <v>19</v>
      </c>
      <c r="B21" s="164"/>
      <c r="C21" s="165"/>
      <c r="D21" s="166"/>
      <c r="E21" s="130"/>
      <c r="F21" s="167"/>
      <c r="G21" s="125" t="str">
        <f>IF(ISBLANK(D21),"",TRUNC(YEARFRAC(N1,D21)))</f>
        <v/>
      </c>
      <c r="H21" s="131"/>
      <c r="I21" s="52"/>
      <c r="J21" s="130"/>
      <c r="K21" s="130" t="e">
        <f>VLOOKUP(J21,N7:O14,2,FALSE)</f>
        <v>#N/A</v>
      </c>
      <c r="L21" s="130"/>
      <c r="M21" s="136"/>
      <c r="O21" t="s">
        <v>25</v>
      </c>
    </row>
    <row r="22" spans="1:15" x14ac:dyDescent="0.25">
      <c r="A22" s="3">
        <v>20</v>
      </c>
      <c r="B22" s="164"/>
      <c r="C22" s="165"/>
      <c r="D22" s="166"/>
      <c r="E22" s="130"/>
      <c r="F22" s="167"/>
      <c r="G22" s="125" t="str">
        <f>IF(ISBLANK(D22),"",TRUNC(YEARFRAC(N1,D22)))</f>
        <v/>
      </c>
      <c r="H22" s="131"/>
      <c r="I22" s="52"/>
      <c r="J22" s="130"/>
      <c r="K22" s="130" t="e">
        <f>VLOOKUP(J22,N7:O14,2,FALSE)</f>
        <v>#N/A</v>
      </c>
      <c r="L22" s="130"/>
      <c r="M22" s="136"/>
      <c r="N22" s="48"/>
      <c r="O22" t="s">
        <v>26</v>
      </c>
    </row>
    <row r="23" spans="1:15" s="46" customFormat="1" ht="109.95" customHeight="1" thickBot="1" x14ac:dyDescent="0.3">
      <c r="A23" s="43"/>
      <c r="B23" s="36">
        <f>COUNTA(B3:B22)</f>
        <v>0</v>
      </c>
      <c r="C23" s="80" t="str">
        <f>IF((COUNTA(B3:B22)&lt;9),"Below Minimum Number (ISA By-Law 1035)",(IF(COUNTA(B3:B22)&lt;12,"Team numbers eligible for AFSC only (ISA By-Law 1035)","Team numbers eligible for International Mixed Age Competition")))</f>
        <v>Below Minimum Number (ISA By-Law 1035)</v>
      </c>
      <c r="D23" s="44" t="str">
        <f>IF(COUNTA(B3:B22)&lt;&gt;COUNTA(D3:D22),"Must enter all DOB","All DOB Entered")</f>
        <v>All DOB Entered</v>
      </c>
      <c r="E23" s="37" t="str">
        <f>IF(COUNTA(B3:B22)&lt;&gt;COUNTA(E3:E22),"All team members must belong to the same Member(ISA By-Law 1004)","All Member Numbers Entered")</f>
        <v>All Member Numbers Entered</v>
      </c>
      <c r="F23" s="37" t="str">
        <f>IF(COUNTA(B3:B22)&lt;&gt;COUNTA(F3:F22),"Must enter all POA","All POA Entered")</f>
        <v>All POA Entered</v>
      </c>
      <c r="G23" s="50" t="s">
        <v>22</v>
      </c>
      <c r="H23" s="72" t="str">
        <f>IF(COUNTIF(H3:H22,"Perm Res")+COUNTIF(H3:H22,"Temp Visa")&gt;((B23-(B23-16))*0.5),"Citizenship incorrect. Excluding alternates, at least 50% must be Australian Citizens (ISA By-Law 1011.3)", IF(COUNTIF(H3:H22,"Temp Visa")&gt;(COUNTA(B3:B22)*0.25),"Citizenship incorrect. Excluding alternates, maximum 25% may not have permanent residency (ISA By-Law 1011.3)", IF(COUNTIF(H3:H22,"Perm Res")+COUNTIF(H3:H22,"Temp Visa")&gt;(COUNTA(B3:B22)*0.25),"Due to citizenship %, Team eligible for AFSC only","Citizenship percentage correct for international competition (CER Article 8.2.4)")))</f>
        <v>Citizenship percentage correct for international competition (CER Article 8.2.4)</v>
      </c>
      <c r="I23" s="37" t="s">
        <v>89</v>
      </c>
      <c r="J23" s="50" t="s">
        <v>41</v>
      </c>
      <c r="K23" s="49"/>
      <c r="L23" s="36" t="str">
        <f>IF(COUNTIF(L3:L22,"Yes")&lt;=(ROUND(COUNTA(B3:B22)*0.25,0)),"Team Eligible","Team Ineligible. Only 25% of this team may skate in any other team. (ISA By-Law 1035)")</f>
        <v>Team Eligible</v>
      </c>
      <c r="M23" s="108" t="str">
        <f>IF(COUNTA(L3:L22)&gt;COUNTA(M3:M22),"Must give name and division of other team(s).","")</f>
        <v/>
      </c>
      <c r="O23" s="34" t="s">
        <v>27</v>
      </c>
    </row>
    <row r="24" spans="1:15" ht="13.8" thickTop="1" x14ac:dyDescent="0.25"/>
    <row r="25" spans="1:15" x14ac:dyDescent="0.25">
      <c r="A25" s="5" t="s">
        <v>14</v>
      </c>
      <c r="K25" s="24"/>
      <c r="L25" s="24"/>
    </row>
    <row r="26" spans="1:15" ht="15" customHeight="1" x14ac:dyDescent="0.25">
      <c r="A26" s="5" t="s">
        <v>42</v>
      </c>
      <c r="D26" s="12"/>
      <c r="E26" s="12"/>
      <c r="F26" s="12"/>
      <c r="G26" s="38"/>
      <c r="H26" s="2" t="s">
        <v>8</v>
      </c>
      <c r="I26" s="40"/>
      <c r="J26" s="12"/>
      <c r="K26" s="25"/>
      <c r="L26" s="25"/>
      <c r="M26" s="12"/>
    </row>
    <row r="27" spans="1:15" s="6" customFormat="1" ht="15" customHeight="1" x14ac:dyDescent="0.25">
      <c r="A27" s="6" t="s">
        <v>43</v>
      </c>
      <c r="D27" s="13"/>
      <c r="E27" s="13"/>
      <c r="F27" s="13"/>
      <c r="G27" s="39"/>
      <c r="H27" s="2" t="s">
        <v>8</v>
      </c>
      <c r="I27" s="41"/>
      <c r="J27" s="13"/>
      <c r="K27" s="26"/>
      <c r="L27" s="26"/>
      <c r="M27" s="13"/>
      <c r="N27"/>
    </row>
    <row r="28" spans="1:15" x14ac:dyDescent="0.25">
      <c r="D28" s="22"/>
      <c r="E28" s="22"/>
      <c r="F28" s="22"/>
    </row>
  </sheetData>
  <sheetProtection algorithmName="SHA-512" hashValue="uGYcz6wLANYhr04LX4HTb3qz6yqVMq+0DiqtO3aRx16uI83PiF22CUGIeUq5HNNshO7vGRkz5zgRvUQX7+vPmA==" saltValue="Ea7kBqFwNPFUnF5MrXAWNA==" spinCount="100000" sheet="1" selectLockedCells="1" sort="0"/>
  <mergeCells count="1">
    <mergeCell ref="B1:I1"/>
  </mergeCells>
  <phoneticPr fontId="0" type="noConversion"/>
  <conditionalFormatting sqref="B23">
    <cfRule type="cellIs" dxfId="135" priority="56" stopIfTrue="1" operator="greaterThanOrEqual">
      <formula>9</formula>
    </cfRule>
    <cfRule type="cellIs" dxfId="134" priority="55" stopIfTrue="1" operator="lessThan">
      <formula>9</formula>
    </cfRule>
  </conditionalFormatting>
  <conditionalFormatting sqref="C23">
    <cfRule type="cellIs" dxfId="133" priority="6" stopIfTrue="1" operator="equal">
      <formula>"Below Minimum Number (ISA By-Law 1035)"</formula>
    </cfRule>
    <cfRule type="cellIs" dxfId="132" priority="7" stopIfTrue="1" operator="equal">
      <formula>"Team numbers eligible for AFSC only (ISA By-Law 1035)"</formula>
    </cfRule>
    <cfRule type="cellIs" dxfId="131" priority="8" operator="equal">
      <formula>"Team numbers eligible for International Mixed Age Competition"</formula>
    </cfRule>
  </conditionalFormatting>
  <conditionalFormatting sqref="D23">
    <cfRule type="cellIs" dxfId="130" priority="61" stopIfTrue="1" operator="equal">
      <formula>"All DOB Entered"</formula>
    </cfRule>
    <cfRule type="cellIs" dxfId="129" priority="60" stopIfTrue="1" operator="equal">
      <formula>"Must enter all DOB"</formula>
    </cfRule>
  </conditionalFormatting>
  <conditionalFormatting sqref="E23">
    <cfRule type="cellIs" dxfId="128" priority="62" stopIfTrue="1" operator="equal">
      <formula>"All team members must belong to the same Member(ISA By-Law 1052)"</formula>
    </cfRule>
    <cfRule type="cellIs" dxfId="127" priority="63" stopIfTrue="1" operator="equal">
      <formula>"All Member Numbers Entered"</formula>
    </cfRule>
  </conditionalFormatting>
  <conditionalFormatting sqref="F23">
    <cfRule type="cellIs" dxfId="126" priority="64" stopIfTrue="1" operator="equal">
      <formula>"Must enter all POA"</formula>
    </cfRule>
    <cfRule type="cellIs" dxfId="125" priority="65" stopIfTrue="1" operator="equal">
      <formula>"All POA Entered"</formula>
    </cfRule>
  </conditionalFormatting>
  <conditionalFormatting sqref="G3:G22">
    <cfRule type="cellIs" dxfId="124" priority="15" stopIfTrue="1" operator="between">
      <formula>10</formula>
      <formula>14</formula>
    </cfRule>
    <cfRule type="cellIs" dxfId="123" priority="16" stopIfTrue="1" operator="lessThan">
      <formula>10</formula>
    </cfRule>
    <cfRule type="cellIs" dxfId="122" priority="17" stopIfTrue="1" operator="greaterThanOrEqual">
      <formula>15</formula>
    </cfRule>
  </conditionalFormatting>
  <conditionalFormatting sqref="G23">
    <cfRule type="cellIs" dxfId="121" priority="58" stopIfTrue="1" operator="equal">
      <formula>"Team Composition Ineligible (ISA AGM 2008)"</formula>
    </cfRule>
    <cfRule type="cellIs" dxfId="120" priority="57" stopIfTrue="1" operator="equal">
      <formula>"Team Composition Eligible (ISA AGM 2008)"</formula>
    </cfRule>
  </conditionalFormatting>
  <conditionalFormatting sqref="H3:H22">
    <cfRule type="cellIs" dxfId="119" priority="1" operator="equal">
      <formula>"Temp Visa"</formula>
    </cfRule>
    <cfRule type="cellIs" dxfId="118" priority="67" stopIfTrue="1" operator="equal">
      <formula>"Perm Res"</formula>
    </cfRule>
    <cfRule type="cellIs" dxfId="117" priority="68" stopIfTrue="1" operator="equal">
      <formula>"yes"</formula>
    </cfRule>
  </conditionalFormatting>
  <conditionalFormatting sqref="H23">
    <cfRule type="cellIs" dxfId="116" priority="2" stopIfTrue="1" operator="equal">
      <formula>"Citizenship incorrect. Excluding alternates, at least 50% must be Australian Citizens (ISA By-Law 1011.3)"</formula>
    </cfRule>
    <cfRule type="cellIs" dxfId="115" priority="3" stopIfTrue="1" operator="equal">
      <formula>"Citizenship incorrect. Excluding alternates, maximum 25% may not have permanent residency (ISA By-Law 1011.3)"</formula>
    </cfRule>
    <cfRule type="cellIs" dxfId="114" priority="4" stopIfTrue="1" operator="equal">
      <formula>"Due to citizenship %, Team eligible for AFSC only"</formula>
    </cfRule>
    <cfRule type="cellIs" dxfId="113" priority="5" stopIfTrue="1" operator="equal">
      <formula>"Citizenship percentage correct for international competition (CER Article 8.2.4)"</formula>
    </cfRule>
  </conditionalFormatting>
  <conditionalFormatting sqref="I3:I22">
    <cfRule type="cellIs" dxfId="112" priority="20" operator="equal">
      <formula>"Not required"</formula>
    </cfRule>
    <cfRule type="cellIs" dxfId="111" priority="21" operator="equal">
      <formula>"Clearance received"</formula>
    </cfRule>
    <cfRule type="cellIs" dxfId="110" priority="22" operator="equal">
      <formula>"No application made"</formula>
    </cfRule>
    <cfRule type="cellIs" dxfId="109" priority="23" operator="equal">
      <formula>"Application made"</formula>
    </cfRule>
    <cfRule type="cellIs" dxfId="108" priority="24" stopIfTrue="1" operator="lessThan">
      <formula>15</formula>
    </cfRule>
    <cfRule type="cellIs" dxfId="107" priority="25" stopIfTrue="1" operator="greaterThanOrEqual">
      <formula>15</formula>
    </cfRule>
  </conditionalFormatting>
  <conditionalFormatting sqref="I3:J22 L3:L22">
    <cfRule type="cellIs" dxfId="106" priority="73" stopIfTrue="1" operator="equal">
      <formula>#REF!</formula>
    </cfRule>
    <cfRule type="cellIs" dxfId="105" priority="71" stopIfTrue="1" operator="equal">
      <formula>#REF!</formula>
    </cfRule>
    <cfRule type="cellIs" dxfId="104" priority="72" stopIfTrue="1" operator="equal">
      <formula>#REF!</formula>
    </cfRule>
  </conditionalFormatting>
  <conditionalFormatting sqref="J3:J22 L3:L22">
    <cfRule type="cellIs" dxfId="103" priority="48" stopIfTrue="1" operator="equal">
      <formula>#REF!</formula>
    </cfRule>
    <cfRule type="cellIs" dxfId="102" priority="49" stopIfTrue="1" operator="equal">
      <formula>#REF!</formula>
    </cfRule>
  </conditionalFormatting>
  <conditionalFormatting sqref="J23">
    <cfRule type="cellIs" dxfId="101" priority="44" stopIfTrue="1" operator="equal">
      <formula>"Test levels correct. Team eligible."</formula>
    </cfRule>
  </conditionalFormatting>
  <conditionalFormatting sqref="J23:K23">
    <cfRule type="cellIs" dxfId="100" priority="50" stopIfTrue="1" operator="equal">
      <formula>"ISU Member or ISA Permission Required"</formula>
    </cfRule>
  </conditionalFormatting>
  <conditionalFormatting sqref="L3:L22 J3:J22">
    <cfRule type="cellIs" dxfId="99" priority="47" stopIfTrue="1" operator="equal">
      <formula>#REF!</formula>
    </cfRule>
  </conditionalFormatting>
  <conditionalFormatting sqref="L3:L22">
    <cfRule type="cellIs" dxfId="98" priority="42" stopIfTrue="1" operator="equal">
      <formula>#REF!</formula>
    </cfRule>
    <cfRule type="cellIs" dxfId="97" priority="41" stopIfTrue="1" operator="equal">
      <formula>#REF!</formula>
    </cfRule>
    <cfRule type="cellIs" dxfId="96" priority="40" stopIfTrue="1" operator="equal">
      <formula>#REF!</formula>
    </cfRule>
  </conditionalFormatting>
  <conditionalFormatting sqref="L23">
    <cfRule type="cellIs" dxfId="95" priority="18" operator="equal">
      <formula>"Team Eligible"</formula>
    </cfRule>
    <cfRule type="cellIs" dxfId="94" priority="19" operator="equal">
      <formula>"Team Ineligible. Only 25% of this team may skate in any other team. (ISA By-Law 1035)"</formula>
    </cfRule>
  </conditionalFormatting>
  <conditionalFormatting sqref="M23">
    <cfRule type="cellIs" dxfId="93" priority="66" stopIfTrue="1" operator="equal">
      <formula>"Must give name and division of other team(s)."</formula>
    </cfRule>
  </conditionalFormatting>
  <conditionalFormatting sqref="Q23">
    <cfRule type="cellIs" dxfId="92" priority="14" operator="equal">
      <formula>"Team numbers eligible for International Mixed Age Competition"</formula>
    </cfRule>
    <cfRule type="cellIs" dxfId="91" priority="13" stopIfTrue="1" operator="equal">
      <formula>"Team numbers eligible for AFSC only (ISA By-Law 1035)"</formula>
    </cfRule>
    <cfRule type="cellIs" dxfId="90" priority="12" stopIfTrue="1" operator="equal">
      <formula>"Below Minimum Number (ISA By-Law 1035)"</formula>
    </cfRule>
  </conditionalFormatting>
  <dataValidations xWindow="309" yWindow="289" count="8">
    <dataValidation type="date" allowBlank="1" showInputMessage="1" showErrorMessage="1" prompt="dd/mm/yyyy" sqref="D3:D22" xr:uid="{00000000-0002-0000-0600-000000000000}">
      <formula1>1</formula1>
      <formula2>73051</formula2>
    </dataValidation>
    <dataValidation allowBlank="1" showInputMessage="1" showErrorMessage="1" prompt="yyyy_x000a_" sqref="N1" xr:uid="{00000000-0002-0000-0600-000001000000}"/>
    <dataValidation allowBlank="1" showInputMessage="1" showErrorMessage="1" prompt="Give team names and divisions S, J, AN, BN, A or M in brackets_x000a_Eg Knightmoves (S)_x000a_" sqref="M3:M22" xr:uid="{00000000-0002-0000-0600-000003000000}"/>
    <dataValidation type="list" allowBlank="1" showInputMessage="1" showErrorMessage="1" prompt="Yes_x000a_Permanent Resident_x000a_Temporary Visa_x000a_" sqref="H3:H22" xr:uid="{00000000-0002-0000-0600-000004000000}">
      <formula1>$N$3:$N$5</formula1>
    </dataValidation>
    <dataValidation type="list" allowBlank="1" showInputMessage="1" showErrorMessage="1" prompt="Put Yes or leave blank if No." sqref="L3:L22" xr:uid="{00000000-0002-0000-0600-000006000000}">
      <formula1>$N$3</formula1>
    </dataValidation>
    <dataValidation type="list" allowBlank="1" showInputMessage="1" showErrorMessage="1" sqref="J3:J22" xr:uid="{00000000-0002-0000-0600-000009000000}">
      <formula1>$N$7:$N$14</formula1>
    </dataValidation>
    <dataValidation type="list" allowBlank="1" showInputMessage="1" showErrorMessage="1" prompt="If not Australian citizen, clearance application must be lodged. NO EXCEPTIONS." sqref="I3:I22" xr:uid="{00000000-0002-0000-0600-000002000000}">
      <formula1>$N$16:$N$19</formula1>
    </dataValidation>
    <dataValidation type="list" allowBlank="1" showInputMessage="1" showErrorMessage="1" sqref="M1" xr:uid="{1E317E81-F5FF-4C21-97F3-9B7440E97A54}">
      <formula1>$O$16:$O$23</formula1>
    </dataValidation>
  </dataValidations>
  <printOptions horizontalCentered="1" verticalCentered="1"/>
  <pageMargins left="0.35433070866141736" right="0.27559055118110237" top="1.2204724409448819" bottom="0.27559055118110237" header="0.27559055118110237" footer="0.15748031496062992"/>
  <pageSetup paperSize="9" scale="81" orientation="landscape" horizontalDpi="4294967293" verticalDpi="4294967293" r:id="rId1"/>
  <headerFooter alignWithMargins="0">
    <oddHeader>&amp;L&amp;G&amp;C&amp;"Arial,Bold"&amp;12  Ice Skating Australia Limited
Affiliated to the International Skating Union
Synchronized Skating
Form Document: &amp;F&amp;R&amp;"Arial,Bold"&amp;12&amp;A</oddHeader>
    <oddFooter>&amp;C&amp;D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Instructions</vt:lpstr>
      <vt:lpstr>Senior</vt:lpstr>
      <vt:lpstr>Senior9</vt:lpstr>
      <vt:lpstr>Junior</vt:lpstr>
      <vt:lpstr>Junior9</vt:lpstr>
      <vt:lpstr>Advanced Novice</vt:lpstr>
      <vt:lpstr>Basic Novice</vt:lpstr>
      <vt:lpstr>Juvenile</vt:lpstr>
      <vt:lpstr>Mixed Age</vt:lpstr>
      <vt:lpstr>Adult</vt:lpstr>
      <vt:lpstr>Advanced Adult</vt:lpstr>
      <vt:lpstr>Percentages</vt:lpstr>
      <vt:lpstr>Adult!Print_Area</vt:lpstr>
      <vt:lpstr>'Advanced Adult'!Print_Area</vt:lpstr>
      <vt:lpstr>'Advanced Novice'!Print_Area</vt:lpstr>
      <vt:lpstr>'Basic Novice'!Print_Area</vt:lpstr>
      <vt:lpstr>Junior!Print_Area</vt:lpstr>
      <vt:lpstr>Junior9!Print_Area</vt:lpstr>
      <vt:lpstr>Juvenile!Print_Area</vt:lpstr>
      <vt:lpstr>'Mixed Age'!Print_Area</vt:lpstr>
      <vt:lpstr>Senior!Print_Area</vt:lpstr>
      <vt:lpstr>Senior9!Print_Area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and Angelique</dc:creator>
  <dc:description>Sent</dc:description>
  <cp:lastModifiedBy>Angelique Clyde-Smith</cp:lastModifiedBy>
  <cp:lastPrinted>2026-06-11T14:15:15Z</cp:lastPrinted>
  <dcterms:created xsi:type="dcterms:W3CDTF">2005-07-07T12:09:43Z</dcterms:created>
  <dcterms:modified xsi:type="dcterms:W3CDTF">2026-06-11T14:15:23Z</dcterms:modified>
</cp:coreProperties>
</file>